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8_{6AF1D7E3-A1F2-47F7-BA17-C4359528D7CE}" xr6:coauthVersionLast="47" xr6:coauthVersionMax="47" xr10:uidLastSave="{00000000-0000-0000-0000-000000000000}"/>
  <bookViews>
    <workbookView xWindow="-110" yWindow="-110" windowWidth="19420" windowHeight="10420" xr2:uid="{A39FA6A2-AF8F-064F-B714-FACDF652E2B1}"/>
  </bookViews>
  <sheets>
    <sheet name="2025" sheetId="1" r:id="rId1"/>
    <sheet name="Organizācijas'25" sheetId="10" r:id="rId2"/>
    <sheet name="Licences" sheetId="2" r:id="rId3"/>
    <sheet name="Valsts" sheetId="21" r:id="rId4"/>
    <sheet name="Birojs_BMX" sheetId="20" r:id="rId5"/>
    <sheet name="Šoseja_MTB" sheetId="22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2" l="1"/>
  <c r="D45" i="1"/>
  <c r="E45" i="1" s="1"/>
  <c r="O31" i="22"/>
  <c r="O34" i="22"/>
  <c r="C63" i="22"/>
  <c r="C44" i="22"/>
  <c r="AC30" i="22"/>
  <c r="D56" i="1"/>
  <c r="D38" i="1"/>
  <c r="D40" i="1"/>
  <c r="B10" i="21"/>
  <c r="B9" i="21"/>
  <c r="AF14" i="20"/>
  <c r="E48" i="1"/>
  <c r="E47" i="1"/>
  <c r="E46" i="1"/>
  <c r="E44" i="1"/>
  <c r="D37" i="1"/>
  <c r="F26" i="1"/>
  <c r="C16" i="1"/>
  <c r="H38" i="1"/>
  <c r="H40" i="1"/>
  <c r="G40" i="1"/>
  <c r="AC39" i="22"/>
  <c r="AC38" i="22"/>
  <c r="AC37" i="22"/>
  <c r="AC36" i="22"/>
  <c r="AC35" i="22"/>
  <c r="AC34" i="22"/>
  <c r="AC33" i="22"/>
  <c r="AC32" i="22"/>
  <c r="AC31" i="22"/>
  <c r="AC29" i="22"/>
  <c r="AC28" i="22"/>
  <c r="AC27" i="22"/>
  <c r="AC26" i="22"/>
  <c r="AC25" i="22"/>
  <c r="AC24" i="22"/>
  <c r="AC23" i="22"/>
  <c r="AC22" i="22"/>
  <c r="AC21" i="22"/>
  <c r="AC20" i="22"/>
  <c r="AC19" i="22"/>
  <c r="AC18" i="22"/>
  <c r="AC17" i="22"/>
  <c r="AC16" i="22"/>
  <c r="AC15" i="22"/>
  <c r="AC14" i="22"/>
  <c r="AC13" i="22"/>
  <c r="AC12" i="22"/>
  <c r="AC11" i="22"/>
  <c r="AC10" i="22"/>
  <c r="AC9" i="22"/>
  <c r="AC8" i="22"/>
  <c r="AC7" i="22"/>
  <c r="AC6" i="22"/>
  <c r="AC5" i="22"/>
  <c r="G44" i="1"/>
  <c r="F31" i="1"/>
  <c r="D42" i="1"/>
  <c r="AC40" i="22" l="1"/>
  <c r="F32" i="1"/>
  <c r="F33" i="1"/>
  <c r="F34" i="1"/>
  <c r="E7" i="1"/>
  <c r="E6" i="1"/>
  <c r="E10" i="1"/>
  <c r="E19" i="1"/>
  <c r="F8" i="1"/>
  <c r="H44" i="1"/>
  <c r="H29" i="1"/>
  <c r="C14" i="2"/>
  <c r="B14" i="2"/>
  <c r="E26" i="1" l="1"/>
  <c r="D66" i="1"/>
  <c r="O12" i="20" l="1"/>
  <c r="R13" i="20"/>
  <c r="AC46" i="20"/>
  <c r="AC47" i="20"/>
  <c r="S51" i="20"/>
  <c r="AC49" i="20"/>
  <c r="AC36" i="20"/>
  <c r="R14" i="20"/>
  <c r="N14" i="20"/>
  <c r="N57" i="20" s="1"/>
  <c r="AB57" i="20"/>
  <c r="AA57" i="20"/>
  <c r="Z57" i="20"/>
  <c r="Y57" i="20"/>
  <c r="X57" i="20"/>
  <c r="W57" i="20"/>
  <c r="V57" i="20"/>
  <c r="U57" i="20"/>
  <c r="T57" i="20"/>
  <c r="Q57" i="20"/>
  <c r="P57" i="20"/>
  <c r="M57" i="20"/>
  <c r="J57" i="20"/>
  <c r="H57" i="20"/>
  <c r="G57" i="20"/>
  <c r="AC56" i="20"/>
  <c r="AC55" i="20"/>
  <c r="AC54" i="20"/>
  <c r="AC53" i="20"/>
  <c r="AC52" i="20"/>
  <c r="AC51" i="20"/>
  <c r="AC50" i="20"/>
  <c r="AC48" i="20"/>
  <c r="AC45" i="20"/>
  <c r="AC44" i="20"/>
  <c r="AC43" i="20"/>
  <c r="AC42" i="20"/>
  <c r="AC41" i="20"/>
  <c r="AC40" i="20"/>
  <c r="AC39" i="20"/>
  <c r="AC38" i="20"/>
  <c r="AC37" i="20"/>
  <c r="AC35" i="20"/>
  <c r="AC34" i="20"/>
  <c r="AC33" i="20"/>
  <c r="AC32" i="20"/>
  <c r="AC31" i="20"/>
  <c r="AC30" i="20"/>
  <c r="AC29" i="20"/>
  <c r="AC28" i="20"/>
  <c r="AC27" i="20"/>
  <c r="AC26" i="20"/>
  <c r="AC25" i="20"/>
  <c r="AC24" i="20"/>
  <c r="AC23" i="20"/>
  <c r="AC22" i="20"/>
  <c r="AC21" i="20"/>
  <c r="AC20" i="20"/>
  <c r="AC19" i="20"/>
  <c r="AC18" i="20"/>
  <c r="AC17" i="20"/>
  <c r="K57" i="20"/>
  <c r="AC15" i="20"/>
  <c r="O57" i="20"/>
  <c r="I11" i="20"/>
  <c r="F11" i="20"/>
  <c r="I10" i="20"/>
  <c r="F10" i="20"/>
  <c r="D5" i="21"/>
  <c r="D4" i="21"/>
  <c r="D3" i="21"/>
  <c r="B5" i="21"/>
  <c r="B4" i="21"/>
  <c r="B3" i="21"/>
  <c r="D58" i="1"/>
  <c r="E58" i="1" s="1"/>
  <c r="E64" i="1"/>
  <c r="E61" i="1"/>
  <c r="E60" i="1"/>
  <c r="E59" i="1"/>
  <c r="E57" i="1"/>
  <c r="E55" i="1"/>
  <c r="E54" i="1"/>
  <c r="E53" i="1"/>
  <c r="E52" i="1"/>
  <c r="D51" i="1"/>
  <c r="AD56" i="20" l="1"/>
  <c r="AF56" i="20" s="1"/>
  <c r="AC16" i="20"/>
  <c r="AD37" i="20" s="1"/>
  <c r="AF37" i="20" s="1"/>
  <c r="R57" i="20"/>
  <c r="AC11" i="20"/>
  <c r="I57" i="20"/>
  <c r="AC12" i="20"/>
  <c r="F57" i="20"/>
  <c r="AC14" i="20"/>
  <c r="AC10" i="20"/>
  <c r="L57" i="20"/>
  <c r="S57" i="20"/>
  <c r="AC13" i="20"/>
  <c r="E51" i="1"/>
  <c r="E42" i="1"/>
  <c r="E41" i="1"/>
  <c r="E40" i="1"/>
  <c r="E38" i="1"/>
  <c r="E35" i="1"/>
  <c r="E30" i="1"/>
  <c r="E29" i="1"/>
  <c r="E28" i="1"/>
  <c r="E27" i="1"/>
  <c r="E25" i="1"/>
  <c r="E24" i="1"/>
  <c r="E23" i="1"/>
  <c r="E22" i="1"/>
  <c r="E21" i="1"/>
  <c r="E14" i="1"/>
  <c r="E12" i="1"/>
  <c r="F11" i="1"/>
  <c r="AD14" i="20" l="1"/>
  <c r="AC57" i="20"/>
  <c r="F13" i="1"/>
  <c r="F10" i="1" l="1"/>
  <c r="N11" i="10" l="1"/>
  <c r="N40" i="10"/>
  <c r="N39" i="10"/>
  <c r="N38" i="10" l="1"/>
  <c r="N37" i="10" l="1"/>
  <c r="F30" i="1"/>
  <c r="N36" i="10"/>
  <c r="N47" i="10"/>
  <c r="N46" i="10"/>
  <c r="N35" i="10"/>
  <c r="N34" i="10"/>
  <c r="N48" i="10" l="1"/>
  <c r="N32" i="10"/>
  <c r="N33" i="10"/>
  <c r="N31" i="10"/>
  <c r="N10" i="10"/>
  <c r="N9" i="10"/>
  <c r="M43" i="1" l="1"/>
  <c r="N21" i="10"/>
  <c r="N20" i="1"/>
  <c r="F47" i="1"/>
  <c r="N30" i="10" l="1"/>
  <c r="N20" i="10"/>
  <c r="N29" i="10"/>
  <c r="N19" i="10"/>
  <c r="N7" i="10"/>
  <c r="N8" i="10"/>
  <c r="N28" i="10"/>
  <c r="I20" i="1" l="1"/>
  <c r="F14" i="2" l="1"/>
  <c r="E14" i="2"/>
  <c r="N41" i="10"/>
  <c r="F51" i="1" l="1"/>
  <c r="F35" i="1"/>
  <c r="F29" i="1"/>
  <c r="F28" i="1"/>
  <c r="F20" i="1" s="1"/>
  <c r="F27" i="1"/>
  <c r="F25" i="1"/>
  <c r="F23" i="1"/>
  <c r="F22" i="1"/>
  <c r="F21" i="1"/>
  <c r="F19" i="1"/>
  <c r="F17" i="1"/>
  <c r="F14" i="1"/>
  <c r="F12" i="1"/>
  <c r="M5" i="1"/>
  <c r="M15" i="1"/>
  <c r="M20" i="1"/>
  <c r="N3" i="10"/>
  <c r="F18" i="1"/>
  <c r="N18" i="10"/>
  <c r="L5" i="1"/>
  <c r="L37" i="1"/>
  <c r="L43" i="1"/>
  <c r="L50" i="1"/>
  <c r="L65" i="1"/>
  <c r="L20" i="1"/>
  <c r="K5" i="1"/>
  <c r="K20" i="1"/>
  <c r="K43" i="1"/>
  <c r="K50" i="1"/>
  <c r="K65" i="1"/>
  <c r="F39" i="1"/>
  <c r="F38" i="1"/>
  <c r="H20" i="1"/>
  <c r="G15" i="1"/>
  <c r="J5" i="1"/>
  <c r="I5" i="1"/>
  <c r="H5" i="1"/>
  <c r="N5" i="1"/>
  <c r="O5" i="1"/>
  <c r="P5" i="1"/>
  <c r="Q5" i="1"/>
  <c r="R5" i="1"/>
  <c r="G5" i="1"/>
  <c r="N26" i="10"/>
  <c r="J20" i="1"/>
  <c r="N22" i="10"/>
  <c r="L49" i="1" l="1"/>
  <c r="K49" i="1"/>
  <c r="M4" i="1"/>
  <c r="L36" i="1"/>
  <c r="K37" i="1"/>
  <c r="K36" i="1" l="1"/>
  <c r="F41" i="1" l="1"/>
  <c r="C20" i="1" l="1"/>
  <c r="C15" i="1"/>
  <c r="C5" i="1"/>
  <c r="F9" i="1"/>
  <c r="F7" i="1"/>
  <c r="C43" i="1"/>
  <c r="D43" i="1"/>
  <c r="C37" i="1"/>
  <c r="D5" i="1"/>
  <c r="C4" i="1" l="1"/>
  <c r="C50" i="1"/>
  <c r="N27" i="10"/>
  <c r="N17" i="10"/>
  <c r="N23" i="10" s="1"/>
  <c r="N12" i="10"/>
  <c r="N6" i="10"/>
  <c r="N5" i="10"/>
  <c r="N4" i="10"/>
  <c r="N2" i="10"/>
  <c r="N42" i="10" l="1"/>
  <c r="N13" i="10"/>
  <c r="F46" i="1"/>
  <c r="F44" i="1"/>
  <c r="F45" i="1"/>
  <c r="F60" i="1" l="1"/>
  <c r="F40" i="1"/>
  <c r="D65" i="1" l="1"/>
  <c r="D50" i="1"/>
  <c r="D49" i="1" s="1"/>
  <c r="D20" i="1"/>
  <c r="D15" i="1"/>
  <c r="F68" i="1"/>
  <c r="C68" i="1" s="1"/>
  <c r="F67" i="1"/>
  <c r="C67" i="1" s="1"/>
  <c r="F66" i="1"/>
  <c r="R65" i="1"/>
  <c r="Q65" i="1"/>
  <c r="P65" i="1"/>
  <c r="O65" i="1"/>
  <c r="N65" i="1"/>
  <c r="M65" i="1"/>
  <c r="J65" i="1"/>
  <c r="I65" i="1"/>
  <c r="H65" i="1"/>
  <c r="G65" i="1"/>
  <c r="F64" i="1"/>
  <c r="F63" i="1"/>
  <c r="F61" i="1"/>
  <c r="F59" i="1"/>
  <c r="F62" i="1"/>
  <c r="F58" i="1"/>
  <c r="F57" i="1"/>
  <c r="F56" i="1"/>
  <c r="R50" i="1"/>
  <c r="J50" i="1"/>
  <c r="F54" i="1"/>
  <c r="F53" i="1"/>
  <c r="F52" i="1"/>
  <c r="Q50" i="1"/>
  <c r="Q49" i="1" s="1"/>
  <c r="P50" i="1"/>
  <c r="P49" i="1" s="1"/>
  <c r="O50" i="1"/>
  <c r="N50" i="1"/>
  <c r="M50" i="1"/>
  <c r="I50" i="1"/>
  <c r="G50" i="1"/>
  <c r="G49" i="1" s="1"/>
  <c r="H43" i="1"/>
  <c r="P43" i="1"/>
  <c r="Q43" i="1"/>
  <c r="O43" i="1"/>
  <c r="N43" i="1"/>
  <c r="J43" i="1"/>
  <c r="I43" i="1"/>
  <c r="G43" i="1"/>
  <c r="R37" i="1"/>
  <c r="Q37" i="1"/>
  <c r="P37" i="1"/>
  <c r="O37" i="1"/>
  <c r="N37" i="1"/>
  <c r="M37" i="1"/>
  <c r="J37" i="1"/>
  <c r="H37" i="1"/>
  <c r="G37" i="1"/>
  <c r="F24" i="1"/>
  <c r="R20" i="1"/>
  <c r="Q20" i="1"/>
  <c r="P20" i="1"/>
  <c r="O20" i="1"/>
  <c r="G20" i="1"/>
  <c r="G4" i="1" s="1"/>
  <c r="F16" i="1"/>
  <c r="F15" i="1" s="1"/>
  <c r="R15" i="1"/>
  <c r="Q15" i="1"/>
  <c r="Q4" i="1" s="1"/>
  <c r="P15" i="1"/>
  <c r="P4" i="1" s="1"/>
  <c r="O15" i="1"/>
  <c r="N15" i="1"/>
  <c r="N4" i="1" s="1"/>
  <c r="L15" i="1"/>
  <c r="L4" i="1" s="1"/>
  <c r="K15" i="1"/>
  <c r="K4" i="1" s="1"/>
  <c r="J15" i="1"/>
  <c r="J4" i="1" s="1"/>
  <c r="I15" i="1"/>
  <c r="I4" i="1" s="1"/>
  <c r="H15" i="1"/>
  <c r="H4" i="1" s="1"/>
  <c r="F6" i="1"/>
  <c r="F5" i="1" s="1"/>
  <c r="J49" i="1" l="1"/>
  <c r="I49" i="1"/>
  <c r="N49" i="1"/>
  <c r="R49" i="1"/>
  <c r="M49" i="1"/>
  <c r="M36" i="1" s="1"/>
  <c r="O49" i="1"/>
  <c r="O36" i="1" s="1"/>
  <c r="R4" i="1"/>
  <c r="O4" i="1"/>
  <c r="F4" i="1"/>
  <c r="D4" i="1"/>
  <c r="E4" i="1" s="1"/>
  <c r="D36" i="1"/>
  <c r="N36" i="1"/>
  <c r="J36" i="1"/>
  <c r="Q36" i="1"/>
  <c r="P36" i="1"/>
  <c r="G36" i="1"/>
  <c r="C65" i="1"/>
  <c r="C49" i="1" s="1"/>
  <c r="F42" i="1"/>
  <c r="F37" i="1" s="1"/>
  <c r="F48" i="1"/>
  <c r="F43" i="1" s="1"/>
  <c r="F55" i="1"/>
  <c r="F50" i="1" s="1"/>
  <c r="F49" i="1" s="1"/>
  <c r="I37" i="1"/>
  <c r="R43" i="1"/>
  <c r="F65" i="1"/>
  <c r="H50" i="1"/>
  <c r="H49" i="1" s="1"/>
  <c r="C36" i="1" l="1"/>
  <c r="H36" i="1"/>
  <c r="F36" i="1"/>
  <c r="R36" i="1"/>
  <c r="I36" i="1"/>
</calcChain>
</file>

<file path=xl/sharedStrings.xml><?xml version="1.0" encoding="utf-8"?>
<sst xmlns="http://schemas.openxmlformats.org/spreadsheetml/2006/main" count="614" uniqueCount="430">
  <si>
    <t>LATVIJAS RITEŅBRAUKŠANAS FEDERĀCIJA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</si>
  <si>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</si>
  <si>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</si>
  <si>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</si>
  <si>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</si>
  <si>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</si>
  <si>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</si>
  <si>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</si>
  <si>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</si>
  <si>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</si>
  <si>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</si>
  <si>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</si>
  <si>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DEC</t>
  </si>
  <si>
    <t>1.1.</t>
  </si>
  <si>
    <t>1.1.1.</t>
  </si>
  <si>
    <t>1.1.2.</t>
  </si>
  <si>
    <t>1.2.</t>
  </si>
  <si>
    <t>1.2.1.</t>
  </si>
  <si>
    <t>1.3.</t>
  </si>
  <si>
    <t>LOK – KOPĀ</t>
  </si>
  <si>
    <t>1.3.1.</t>
  </si>
  <si>
    <t>1.3.2.</t>
  </si>
  <si>
    <t>1.3.3.</t>
  </si>
  <si>
    <t>1.3.4.</t>
  </si>
  <si>
    <t>1.3.5.</t>
  </si>
  <si>
    <t>LRF ieņēmumi - KOPĀ</t>
  </si>
  <si>
    <t>Biedru nauda</t>
  </si>
  <si>
    <t>Licences</t>
  </si>
  <si>
    <t>Ziedojumi un dāvinājumi LR fiz.pers. (nauda)</t>
  </si>
  <si>
    <t>2.1.</t>
  </si>
  <si>
    <t>2.1.1.</t>
  </si>
  <si>
    <t xml:space="preserve">BMX izlases </t>
  </si>
  <si>
    <t>2.1.2.</t>
  </si>
  <si>
    <t>2.2.</t>
  </si>
  <si>
    <t>2.2.1.</t>
  </si>
  <si>
    <t>BMX sacensības</t>
  </si>
  <si>
    <t>2.2.2.</t>
  </si>
  <si>
    <t>2.2.4.</t>
  </si>
  <si>
    <t>2.3.</t>
  </si>
  <si>
    <t>Biroja izdevumi</t>
  </si>
  <si>
    <t>2.3.1.</t>
  </si>
  <si>
    <t>2.3.2.</t>
  </si>
  <si>
    <t>Kancelejas preces, datortehnikas progr., poligrāfija u.c.</t>
  </si>
  <si>
    <t>Zvērināts revidents</t>
  </si>
  <si>
    <t>Starptautiskās biedru naudas (UCI, UEC, Nordic)</t>
  </si>
  <si>
    <t>Pamatlīdzekļu nolietojums</t>
  </si>
  <si>
    <t>Sociālie maksājumi</t>
  </si>
  <si>
    <t>Riska valsts nodeva</t>
  </si>
  <si>
    <t>Algas administrācijai</t>
  </si>
  <si>
    <t>Sakaru pakalpojumi</t>
  </si>
  <si>
    <t>Administratīvie izdevumi</t>
  </si>
  <si>
    <t>KOPĀ</t>
  </si>
  <si>
    <t>IZDEVUMI</t>
  </si>
  <si>
    <t>IEŅĒMUMI</t>
  </si>
  <si>
    <t>Bankas izd., dažādi</t>
  </si>
  <si>
    <t>Telpu īre, komunālie (birojs, garāža)</t>
  </si>
  <si>
    <t>Biedru naudas</t>
  </si>
  <si>
    <t>MAY</t>
  </si>
  <si>
    <t>OCT</t>
  </si>
  <si>
    <t>Šosejas, MTB izlases</t>
  </si>
  <si>
    <t>1.2.2.</t>
  </si>
  <si>
    <t>2.1.3.</t>
  </si>
  <si>
    <t>2.1.4.</t>
  </si>
  <si>
    <t>Ieņēmumi no  pakalpojumiem</t>
  </si>
  <si>
    <t>Licence par "Vienības brauciens" organizēšanu</t>
  </si>
  <si>
    <t>Ieņēmumi no līdzfinansējuma pasākumos (dalības maksas)</t>
  </si>
  <si>
    <t>Šosejas, MTB izlases - AP</t>
  </si>
  <si>
    <t>2.2.3.</t>
  </si>
  <si>
    <t>Semināri, izglītības pasākumi</t>
  </si>
  <si>
    <t>BMX pasākumi</t>
  </si>
  <si>
    <t>Šosejas pasākumi</t>
  </si>
  <si>
    <t>Šosejas, MTB sacensības</t>
  </si>
  <si>
    <t>Šosejas, MTB sacensības - AP</t>
  </si>
  <si>
    <t>2.2.5.</t>
  </si>
  <si>
    <t>Kopējais</t>
  </si>
  <si>
    <t>Rīgas valstspilsētas pašvaldība</t>
  </si>
  <si>
    <t>Pamatlīdzekļu iegāde</t>
  </si>
  <si>
    <t>1.2.3.</t>
  </si>
  <si>
    <t>1.2.4.</t>
  </si>
  <si>
    <t>2.3.1.1.</t>
  </si>
  <si>
    <t>2.3.1.2.</t>
  </si>
  <si>
    <t>2.3.1.3.</t>
  </si>
  <si>
    <t>2.3.1.4.</t>
  </si>
  <si>
    <t>2.3.1.5.</t>
  </si>
  <si>
    <t>2.3.1.6.</t>
  </si>
  <si>
    <t>2.3.1.7.</t>
  </si>
  <si>
    <t>2.3.1.8.</t>
  </si>
  <si>
    <t>2.3.1.9.</t>
  </si>
  <si>
    <t>2.3.1.10.</t>
  </si>
  <si>
    <t>2.3.1.11.</t>
  </si>
  <si>
    <t>2.3.1.12.</t>
  </si>
  <si>
    <t>2.3.1.13.</t>
  </si>
  <si>
    <t>2.3.1.14.</t>
  </si>
  <si>
    <t>2.3.2.1.</t>
  </si>
  <si>
    <t>2.3.2.2.</t>
  </si>
  <si>
    <t>2.3.2.3.</t>
  </si>
  <si>
    <t>Darba samaksa</t>
  </si>
  <si>
    <t>2.1.5.</t>
  </si>
  <si>
    <t>Grāmatvedības pakalpojumi</t>
  </si>
  <si>
    <t>1.3.6.</t>
  </si>
  <si>
    <t>Latvijas Olimpiskā komiteja - AP - EYOF</t>
  </si>
  <si>
    <t xml:space="preserve">IZM prioritāro federāciju finansējums </t>
  </si>
  <si>
    <t>Hostinga pakalp., interneta pieslēg., domēns</t>
  </si>
  <si>
    <t>Sportisti</t>
  </si>
  <si>
    <t>IZM naudas balvas par ISS</t>
  </si>
  <si>
    <t>Reālais 2024</t>
  </si>
  <si>
    <t>VID, PVN</t>
  </si>
  <si>
    <t>VIRŠI-A, AS</t>
  </si>
  <si>
    <t>DATU TEHNOLOĢIJU GRUPA, SIA</t>
  </si>
  <si>
    <t>Dobeles novada pašvaldība</t>
  </si>
  <si>
    <t>Šosejas sacensības - SW AK</t>
  </si>
  <si>
    <t>Kuldīgas novada pašvaldība</t>
  </si>
  <si>
    <t>Latvia Packing, SIA</t>
  </si>
  <si>
    <t>Latvijas Paralimpiskā komiteja - KMI</t>
  </si>
  <si>
    <t>Ziedojumi un dāvinājumi - juridiskās personas</t>
  </si>
  <si>
    <t>Plāns 2025</t>
  </si>
  <si>
    <t>Reālais 2025</t>
  </si>
  <si>
    <t>Latvijas Olimpiskā vienība - KMI 2024</t>
  </si>
  <si>
    <t>Ziedojumi un dāvinājumi - fiziskas personas</t>
  </si>
  <si>
    <t>IZM finansējums "LVM MTB un Gravel Maratons"</t>
  </si>
  <si>
    <t>IZM finansējums "Vienības brauciens"</t>
  </si>
  <si>
    <t>Ieņēmumi biedrības darbības nodrošināšanai (pašvaldības)</t>
  </si>
  <si>
    <t>Citi ieņēmumi - līdzfinansējumi (vecāki), Jaunatnes fonds</t>
  </si>
  <si>
    <t>IEŅĒMUMU, IZDEVUMU PLĀNS 2025.GADAM</t>
  </si>
  <si>
    <t>Finansējums "Baltic Chain Tour"</t>
  </si>
  <si>
    <t>IZM finansējums "BMX Eiropas čempionāts"</t>
  </si>
  <si>
    <t>24vs25 (%)</t>
  </si>
  <si>
    <t>IZM</t>
  </si>
  <si>
    <t>LRF birojs</t>
  </si>
  <si>
    <t>Šoseja</t>
  </si>
  <si>
    <t>BMX</t>
  </si>
  <si>
    <t>Reāli 2024</t>
  </si>
  <si>
    <r>
      <t xml:space="preserve">TĀME
</t>
    </r>
    <r>
      <rPr>
        <b/>
        <i/>
        <sz val="16"/>
        <rFont val="Times New Roman"/>
        <family val="1"/>
        <charset val="186"/>
      </rPr>
      <t>par piešķirto valsts budžeta līdzekļu izlietojumu</t>
    </r>
  </si>
  <si>
    <t>1.PIELIKUMS</t>
  </si>
  <si>
    <r>
      <t>Organizācijas nosaukums: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</si>
  <si>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 xml:space="preserve">Sadarbības līguma datums: 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</si>
  <si>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204"/>
      </rPr>
      <t>Adrese, kontakttālrunis: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</si>
  <si>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Apakšprogrammas Nr.</t>
    </r>
    <r>
      <rPr>
        <sz val="12"/>
        <rFont val="Times New Roman"/>
        <family val="1"/>
        <charset val="186"/>
      </rPr>
      <t xml:space="preserve"> </t>
    </r>
  </si>
  <si>
    <t>N.p.k.</t>
  </si>
  <si>
    <t>Pasākuma sarīkošanas laiks (kalendārā secībā)</t>
  </si>
  <si>
    <t>Pasākuma nosaukums</t>
  </si>
  <si>
    <t>Dalībnieku skaits</t>
  </si>
  <si>
    <t>Vieta</t>
  </si>
  <si>
    <t>Mēnešalga</t>
  </si>
  <si>
    <t>Piemaksas, prēmijas un naudas balvas</t>
  </si>
  <si>
    <t>Atalgojums fiziskajām personām uz tiesiskās attiecības regulējošu dokumentu pamata</t>
  </si>
  <si>
    <t>Darba devēja valsts sociālās apdrošināšanas obligātās iemaksas</t>
  </si>
  <si>
    <t>Darba devēja sociāla rakstura pabalsti, kompensācijas un citi maksājumi</t>
  </si>
  <si>
    <t>Iekšzemes mācību, darba un dienesta komandējumi, darba braucieni</t>
  </si>
  <si>
    <t>Ārvalstu mācību, darba un dienesta komandējumi, darba braucieni</t>
  </si>
  <si>
    <t>Izdevumi par sakaru pakalpojumiem</t>
  </si>
  <si>
    <t>Izdevumi par komunālajiem pakalpojumiem</t>
  </si>
  <si>
    <t>Dažādi pakalpojumi</t>
  </si>
  <si>
    <t>Remontdarbi un iestāžu uzturēšanas pakalpojumi (izņemot kapitālo remontu)</t>
  </si>
  <si>
    <t>Informācijas tehnoloģiju pakalpojumi</t>
  </si>
  <si>
    <t>Īre un noma</t>
  </si>
  <si>
    <t>Izdevumi par dažādām precēm un inventāru</t>
  </si>
  <si>
    <t>Kurināmais un enerģētiskie materiāli</t>
  </si>
  <si>
    <t>Zāles, ķimikālijas, laboratorijas preces, medicīniskās ierīces, laboratorijas dzīvnieki un to uzturēšana</t>
  </si>
  <si>
    <t>Iestāžu uzturēšanas materiāli un preces</t>
  </si>
  <si>
    <t>Valsts un pašvaldību aprūpē, apgādē un dienestā (amatā) esošo personu uzturēšana</t>
  </si>
  <si>
    <t xml:space="preserve"> Pārējas preces</t>
  </si>
  <si>
    <t>Attīstības pasākumi un programmas</t>
  </si>
  <si>
    <t>Licences, koncesijas un patenti, preču zīmes un līdzīgas tiesības</t>
  </si>
  <si>
    <t>Tehnoloģiskās iekārtas un mašīnas</t>
  </si>
  <si>
    <t>Pārējie pamatlīdzekļi</t>
  </si>
  <si>
    <t>Izdevumi kopā</t>
  </si>
  <si>
    <t>1.</t>
  </si>
  <si>
    <t>1.marts - 31.decembris</t>
  </si>
  <si>
    <t>Ģenerālsekretāra DA</t>
  </si>
  <si>
    <t>2.</t>
  </si>
  <si>
    <t>BMX menedžera DA</t>
  </si>
  <si>
    <t>3.</t>
  </si>
  <si>
    <t>Visu pasākumu grāmatvedības pakalpojumi</t>
  </si>
  <si>
    <t>4.</t>
  </si>
  <si>
    <t>Šosejas, MTB izlašu garāža, remontu boks</t>
  </si>
  <si>
    <t>5.</t>
  </si>
  <si>
    <t>LRF biroja izdevumi</t>
  </si>
  <si>
    <t>1.maijs - 31.decembris</t>
  </si>
  <si>
    <t>BMX Latvijas kauss</t>
  </si>
  <si>
    <t>Valmiera</t>
  </si>
  <si>
    <t>BMX Latvijas kauss (bērni, jaunieši)</t>
  </si>
  <si>
    <t>Tukums</t>
  </si>
  <si>
    <t>Jelgava</t>
  </si>
  <si>
    <t>Ventspils</t>
  </si>
  <si>
    <t>BMX Latvijas čempionāts</t>
  </si>
  <si>
    <t>BMX Latvijas čempionāts (bērni, jaunieši)</t>
  </si>
  <si>
    <t>Rīga</t>
  </si>
  <si>
    <t>Avoti</t>
  </si>
  <si>
    <t>Pump Track Latvijas čempionāts</t>
  </si>
  <si>
    <t>Mārupe</t>
  </si>
  <si>
    <t>Silva</t>
  </si>
  <si>
    <t>BMX Pasaules kauss 1-2.posms</t>
  </si>
  <si>
    <t>BMX Freestyle Pasaules kauss</t>
  </si>
  <si>
    <t>BMX Pasaules kauss 3-4.posms</t>
  </si>
  <si>
    <t>BMX Eiropas kauss 3-4.posms (bērni, jaunieši)</t>
  </si>
  <si>
    <t>BMX Eiropas kauss 5-6.posms (bērni, jaunieši)</t>
  </si>
  <si>
    <t>BMX Pasaules kauss 5-6.posms</t>
  </si>
  <si>
    <t>BMX Pasaules čempionāts</t>
  </si>
  <si>
    <t>BMX Freestyle Latvijas čempionāts</t>
  </si>
  <si>
    <t>Saldus</t>
  </si>
  <si>
    <t>BMX Eiropas čempionāts</t>
  </si>
  <si>
    <t>BMX Eiropas kauss 7-8.posms (bērni, jaunieši)</t>
  </si>
  <si>
    <t>BMX Freestyle Pasaules čempionāts</t>
  </si>
  <si>
    <t>BMX izlases transports</t>
  </si>
  <si>
    <t>Kopā :</t>
  </si>
  <si>
    <t>26.aprīlis</t>
  </si>
  <si>
    <t>10.maijs</t>
  </si>
  <si>
    <t>24-25.maijs</t>
  </si>
  <si>
    <t>Riga Cup/Riga Grand Prix C1</t>
  </si>
  <si>
    <t>7.jūnijs</t>
  </si>
  <si>
    <t>21.jūnijs</t>
  </si>
  <si>
    <t>5.jūlijs</t>
  </si>
  <si>
    <t>15.augusts</t>
  </si>
  <si>
    <t>Liepāja</t>
  </si>
  <si>
    <t>16-17.augusts</t>
  </si>
  <si>
    <t>MadLiepaja BMX Freestyle C1</t>
  </si>
  <si>
    <t>BMX sacensību fotofinišs</t>
  </si>
  <si>
    <t>9.augusts</t>
  </si>
  <si>
    <t>23.augusts</t>
  </si>
  <si>
    <t>Ādaži</t>
  </si>
  <si>
    <t>13.septembris</t>
  </si>
  <si>
    <t>tiks precizēts</t>
  </si>
  <si>
    <t>27.septembris</t>
  </si>
  <si>
    <t>BMX Freestyle Eiropas čempionāts</t>
  </si>
  <si>
    <t>Verona, ITA</t>
  </si>
  <si>
    <t>BMX izlases tehniskais atbalsts (telts, krēsli, galdi)</t>
  </si>
  <si>
    <t>28-30.marts</t>
  </si>
  <si>
    <t>19-21.aprīlis</t>
  </si>
  <si>
    <t>Zolder, BEL</t>
  </si>
  <si>
    <t>10-11.maijs</t>
  </si>
  <si>
    <t>Lempdes, FRA</t>
  </si>
  <si>
    <t>31.05-1.06</t>
  </si>
  <si>
    <t>Tiel, NED</t>
  </si>
  <si>
    <t>19-20.jūlijs</t>
  </si>
  <si>
    <t>Angelholm, SWE</t>
  </si>
  <si>
    <t>6-7.septembris</t>
  </si>
  <si>
    <t>Benatky, CZE</t>
  </si>
  <si>
    <t>14-15.jūnijs</t>
  </si>
  <si>
    <t>21-22.jūnijs</t>
  </si>
  <si>
    <t>Sarrians, FRA</t>
  </si>
  <si>
    <t>Papendal, NED</t>
  </si>
  <si>
    <t>Decembris</t>
  </si>
  <si>
    <t>BMX EČ, PČ laureātu apbalvošana</t>
  </si>
  <si>
    <t>7-13.jūlijs</t>
  </si>
  <si>
    <t>Eindhovena, NED</t>
  </si>
  <si>
    <t>28.07-3.08</t>
  </si>
  <si>
    <t>Copenhagen, DEN</t>
  </si>
  <si>
    <t>BMX MTN pirms PČ</t>
  </si>
  <si>
    <t>Maijs</t>
  </si>
  <si>
    <t>BMX Eiropas kauss 1-2.posms (bērni, jaunieši)</t>
  </si>
  <si>
    <t>BMX Eiropas kauss 9-10..posms (bērni, jaunieši)</t>
  </si>
  <si>
    <t>BMX Eiropas kauss 11-12.posms (bērni, jaunieši)</t>
  </si>
  <si>
    <t>20-21.septembris</t>
  </si>
  <si>
    <t>Santiago dEst., ARG</t>
  </si>
  <si>
    <t>28.05-2.06</t>
  </si>
  <si>
    <t>Montpellier, FRA</t>
  </si>
  <si>
    <t>3-5.oktobris</t>
  </si>
  <si>
    <t>4-8.novembris</t>
  </si>
  <si>
    <t>Riyadh, SA</t>
  </si>
  <si>
    <t>Papildus šosejas pasākums par 2024.gadu</t>
  </si>
  <si>
    <t>LRF gada noslēguma apbalvošana</t>
  </si>
  <si>
    <t>VIRŠI Renergy, SIA</t>
  </si>
  <si>
    <t>4 PLUS SIA</t>
  </si>
  <si>
    <t>ELKO GRUPA, AS</t>
  </si>
  <si>
    <t>Ādažu novada pašvaldība</t>
  </si>
  <si>
    <t>BMX Freestyle sacensības, izlase</t>
  </si>
  <si>
    <t>IZM finansējums "Vivus.lv MTB maratons"</t>
  </si>
  <si>
    <t xml:space="preserve">Igaunijas Riteņbraukšanas federācijas atbalsts Baltijas čempionātam </t>
  </si>
  <si>
    <t>Lietuvas Riteņbraukšanas federācijas atbalsts Baltijas čempionātam</t>
  </si>
  <si>
    <t>UEC atbalsts Baltijas čempionātam</t>
  </si>
  <si>
    <t>BMX Eiropas čempionāts (dalības maksas)</t>
  </si>
  <si>
    <t xml:space="preserve">ŠOSEJAS/ MTB IZLAŠU SADAĻA - IZDEVUMI </t>
  </si>
  <si>
    <t>6+2</t>
  </si>
  <si>
    <t>Grudziadz velobrauciens  junioriem (bērni, jaunieši)</t>
  </si>
  <si>
    <t xml:space="preserve">Polija </t>
  </si>
  <si>
    <t>Tour of Estonia UCI 2.1. ME</t>
  </si>
  <si>
    <t>7+3</t>
  </si>
  <si>
    <t>Tallina, Tartu, Igaunija</t>
  </si>
  <si>
    <t>2+2</t>
  </si>
  <si>
    <t>Tour of Lithuania UCI 2.2. ME</t>
  </si>
  <si>
    <t>6+3</t>
  </si>
  <si>
    <t>Lietuva</t>
  </si>
  <si>
    <t>Luksemburgas U17 tūre (bērni, jaunieši)</t>
  </si>
  <si>
    <t>Luksemburga</t>
  </si>
  <si>
    <t>Slovākija</t>
  </si>
  <si>
    <t>19. - 21.07.</t>
  </si>
  <si>
    <t>Austrija</t>
  </si>
  <si>
    <t>14. - 22.08.</t>
  </si>
  <si>
    <t>ASVÖ - Radjugendtour U17 velobrauciens (bērni, jaunieši)</t>
  </si>
  <si>
    <t>Latvija</t>
  </si>
  <si>
    <t>Zviedrija</t>
  </si>
  <si>
    <t>Eiropas Čempionāts šosejas riteņbraukšanā (bērni, jaunieši)</t>
  </si>
  <si>
    <t>Pasaules Čempionāts  šosejas riteņbraukšanā</t>
  </si>
  <si>
    <t xml:space="preserve">01.04. - 30.12. </t>
  </si>
  <si>
    <t>Šosejas Izlašu tehniskais  nodrošinājums</t>
  </si>
  <si>
    <t>01.04. - 31.12.</t>
  </si>
  <si>
    <t>Sporta uzturs (bērni, jaunieši)</t>
  </si>
  <si>
    <t>Inventārs/ apģērbs (bērni, jaunieši)</t>
  </si>
  <si>
    <t>-</t>
  </si>
  <si>
    <t>Šosejas, MTB izlašu sacensību transports</t>
  </si>
  <si>
    <t>Baltijas čempionāts šosejas riteņbraukšanā (bērni, jaunieši)</t>
  </si>
  <si>
    <t>13. - 14.07,</t>
  </si>
  <si>
    <t>Latvijas čempionāts MTB Downhill</t>
  </si>
  <si>
    <t>Gaiziņkalns</t>
  </si>
  <si>
    <t>20. - 21.07.</t>
  </si>
  <si>
    <t>Latvijas čempionāts MTB XCO krosā</t>
  </si>
  <si>
    <t>17. - 18.08.</t>
  </si>
  <si>
    <t>Latvijas jaunatnes meistarsacīkstes (bērni jaunieši)</t>
  </si>
  <si>
    <t>Smiltene</t>
  </si>
  <si>
    <t>04.08.</t>
  </si>
  <si>
    <t>Latvijas čempionāts MTB maratonā</t>
  </si>
  <si>
    <t>Cēsis</t>
  </si>
  <si>
    <t>01.04. - 01.11.</t>
  </si>
  <si>
    <t>Latvijas kauss šosejā (bērni, jaunieši)</t>
  </si>
  <si>
    <t>Latvijas kauss MTB XCO krosā</t>
  </si>
  <si>
    <t xml:space="preserve">01.03. - 21.12. </t>
  </si>
  <si>
    <t>Tiesnešu programma</t>
  </si>
  <si>
    <t xml:space="preserve">01.05. - 01.10. </t>
  </si>
  <si>
    <t>Biķernieku šosejas riteņbraukšanas sacensības</t>
  </si>
  <si>
    <t xml:space="preserve">Rīga </t>
  </si>
  <si>
    <t>24.08.</t>
  </si>
  <si>
    <t>Latvijas čempionāts kalnā braukšanā</t>
  </si>
  <si>
    <t>Sigulda</t>
  </si>
  <si>
    <t>01.04. - 20.12.</t>
  </si>
  <si>
    <t>Latvijas jaunatnes kauss riteņbraukšanā</t>
  </si>
  <si>
    <t>Latvijas čempionāts CX Velokrosā</t>
  </si>
  <si>
    <t>ŠOSEJAS/ MTB IZLAŠU UN SACENSĪBU SADAĻA - IEŅĒMUMI</t>
  </si>
  <si>
    <t>Nr.</t>
  </si>
  <si>
    <t xml:space="preserve">Finansētājs </t>
  </si>
  <si>
    <t>Summa (EUR)</t>
  </si>
  <si>
    <t xml:space="preserve">Dotācija Izglītības un zinātnes ministrija </t>
  </si>
  <si>
    <t>Dalības maksas Biķernieku šosejas riteņbraukšanas sacensības</t>
  </si>
  <si>
    <t>CB- XP reklāma</t>
  </si>
  <si>
    <t>6.</t>
  </si>
  <si>
    <t>7.</t>
  </si>
  <si>
    <t>Dalības maksas LK MTB XCO / LČ MTB XCO</t>
  </si>
  <si>
    <t>8.</t>
  </si>
  <si>
    <t>DTG reklāma</t>
  </si>
  <si>
    <t>9.</t>
  </si>
  <si>
    <t>Gulbenes novada pašvaldība</t>
  </si>
  <si>
    <t>10.</t>
  </si>
  <si>
    <t>SIA Avoti ziedojums</t>
  </si>
  <si>
    <t>11.</t>
  </si>
  <si>
    <t>Ogres novada pašvaldība</t>
  </si>
  <si>
    <t>12.</t>
  </si>
  <si>
    <t>Siguldas novada pašvaldība</t>
  </si>
  <si>
    <t>13.</t>
  </si>
  <si>
    <t>Dalības maksas Latvijas čempionātam kalnā braukšanā</t>
  </si>
  <si>
    <t>14.</t>
  </si>
  <si>
    <t>15.</t>
  </si>
  <si>
    <t>16.</t>
  </si>
  <si>
    <t>17.</t>
  </si>
  <si>
    <t>18.</t>
  </si>
  <si>
    <t>Latvijas čempionāts CX velokrosā dalības maksas</t>
  </si>
  <si>
    <t>2025. gads  PLĀNS</t>
  </si>
  <si>
    <t>14. - 20.04.</t>
  </si>
  <si>
    <t>Pasaules Nāciju kauss U19 izlasei šosejā (bērni, jaunieši)</t>
  </si>
  <si>
    <t>Itālija</t>
  </si>
  <si>
    <t>30.04. - 04.05.</t>
  </si>
  <si>
    <t xml:space="preserve">06.05. - 12.05. </t>
  </si>
  <si>
    <t>Čehija</t>
  </si>
  <si>
    <t>29. 05. - 01.06.</t>
  </si>
  <si>
    <t>03.06. --8.06.</t>
  </si>
  <si>
    <t xml:space="preserve">01.07 - 15.07. </t>
  </si>
  <si>
    <t>15. - 19.07.</t>
  </si>
  <si>
    <t>14. -15.08.</t>
  </si>
  <si>
    <t>Ungārija</t>
  </si>
  <si>
    <t>19. - 28.09.</t>
  </si>
  <si>
    <t>7+5</t>
  </si>
  <si>
    <t>Ruanda</t>
  </si>
  <si>
    <t>02. - 08.10.</t>
  </si>
  <si>
    <t>12+5</t>
  </si>
  <si>
    <t>Francija</t>
  </si>
  <si>
    <t>23. - 27.07</t>
  </si>
  <si>
    <t>Eiropas elites, U23, junioru čempionāts MTB XCO krosā</t>
  </si>
  <si>
    <t>4+2</t>
  </si>
  <si>
    <t>Portugāle</t>
  </si>
  <si>
    <t>04. - 12.08.</t>
  </si>
  <si>
    <t>Eiropas jaunatnes čempionāts MTB</t>
  </si>
  <si>
    <t>1. - 14.09.</t>
  </si>
  <si>
    <t>Pasaules čempionāts  MTB</t>
  </si>
  <si>
    <t>Šveice</t>
  </si>
  <si>
    <t>24. -30.05.</t>
  </si>
  <si>
    <t>Rīga, Cēsis</t>
  </si>
  <si>
    <t>Lizums</t>
  </si>
  <si>
    <t>01.03. - 21.12.</t>
  </si>
  <si>
    <t>Skolu velo diena</t>
  </si>
  <si>
    <t>20 - 24.08.</t>
  </si>
  <si>
    <t>Baltic Chain tour velobrauciens</t>
  </si>
  <si>
    <t xml:space="preserve">IZM Dotācija Baltic Chain tour </t>
  </si>
  <si>
    <t>Cēsu novada dotācija Baltijas čempionātam</t>
  </si>
  <si>
    <t>Igaunujas Riteņbraukšanas savienības finansējums Baltijas čempionātam</t>
  </si>
  <si>
    <t>Lietuvas Riteņbraukšanas federācijas  finansējums Baltijas čempionātam</t>
  </si>
  <si>
    <t>UEC finansējums Baltijas čempionātam</t>
  </si>
  <si>
    <t>Rīgas Valstspilsētas pašvaldības dotācija Baltic Chain tour</t>
  </si>
  <si>
    <t>Rīgas Valstspilsētas pašvaldības dotācija Biķerniekiem</t>
  </si>
  <si>
    <t>Latvijas Olimpiskā komitejas dotācijas gatavošanās EYOF</t>
  </si>
  <si>
    <t>Saimniecības, pasta, u.c. izdevumi</t>
  </si>
  <si>
    <t>Dotācijas – KOPĀ</t>
  </si>
  <si>
    <t>1.1.3.</t>
  </si>
  <si>
    <t>1.1.4.</t>
  </si>
  <si>
    <t>1.1.5.</t>
  </si>
  <si>
    <t>1.1.6.</t>
  </si>
  <si>
    <t>1.1.7.</t>
  </si>
  <si>
    <t>1.1.8.</t>
  </si>
  <si>
    <t>1.1.9.</t>
  </si>
  <si>
    <t>Latvijas Olimpiskā komiteja - KMI Parīze 2024; SOK 4.18.5.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</si>
  <si>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</si>
  <si>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</si>
  <si>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</si>
  <si>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</si>
  <si>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</si>
  <si>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</si>
  <si>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</si>
  <si>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</si>
  <si>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1.3.15.</t>
  </si>
  <si>
    <t>Ieņēmumi no pakalpojumiem</t>
  </si>
  <si>
    <t>BMX Eiropas kausi - KMI, citi AP</t>
  </si>
  <si>
    <t>5% ieņēmumi biedrības darbības nodrošināšanai</t>
  </si>
  <si>
    <t>Kompensējamās izmaksas (dalības maksas BMX), naudas balvas</t>
  </si>
  <si>
    <t>Ieņēmumi no līdzfinansējuma pasākumos</t>
  </si>
  <si>
    <t>Apkalpe</t>
  </si>
  <si>
    <t>BMX Latvijas rangs kopvērtējuma apbalvošana</t>
  </si>
  <si>
    <t>05. 07.</t>
  </si>
  <si>
    <t>Latvijas čempionāts Gravel riteņbraukšanā</t>
  </si>
  <si>
    <t>Alūksne</t>
  </si>
  <si>
    <t xml:space="preserve">Salaspils </t>
  </si>
  <si>
    <t xml:space="preserve">01.04. - 31.12. </t>
  </si>
  <si>
    <t>Šosejas un MTB izlases tehniskā telpa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</si>
</sst>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%"/>
    <numFmt numFmtId="165" formatCode="&quot;€&quot;#,##0"/>
    <numFmt numFmtId="166" formatCode="_-* #,##0\ _€_-;\-* #,##0\ _€_-;_-* &quot;-&quot;\ _€_-;_-@_-"/>
    <numFmt numFmtId="167" formatCode="_-* #,##0.00\ _€_-;\-* #,##0.00\ _€_-;_-* &quot;-&quot;??\ _€_-;_-@_-"/>
  </numFmts>
  <fonts count="5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Arial"/>
      <family val="2"/>
      <charset val="186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indexed="48"/>
      <name val="Arial"/>
      <family val="2"/>
      <charset val="186"/>
    </font>
    <font>
      <b/>
      <sz val="11"/>
      <color theme="1"/>
      <name val="Arial"/>
      <family val="2"/>
    </font>
    <font>
      <sz val="11"/>
      <color indexed="48"/>
      <name val="Arial"/>
      <family val="2"/>
      <charset val="186"/>
    </font>
    <font>
      <sz val="11"/>
      <name val="Arial"/>
      <family val="2"/>
    </font>
    <font>
      <b/>
      <i/>
      <sz val="11"/>
      <color theme="1"/>
      <name val="Arial"/>
      <family val="2"/>
      <charset val="186"/>
    </font>
    <font>
      <b/>
      <i/>
      <sz val="11"/>
      <name val="Arial"/>
      <family val="2"/>
      <charset val="186"/>
    </font>
    <font>
      <i/>
      <sz val="10"/>
      <name val="Arial"/>
      <family val="2"/>
    </font>
    <font>
      <i/>
      <sz val="1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b/>
      <sz val="11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9" fillId="0" borderId="0"/>
    <xf numFmtId="44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0" fontId="1" fillId="0" borderId="0"/>
  </cellStyleXfs>
  <cellXfs count="365">
    <xf numFmtId="0" fontId="0" fillId="0" borderId="0" xfId="0"/>
    <xf numFmtId="0" fontId="3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5" fillId="0" borderId="0" xfId="1" applyFont="1"/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center"/>
    </xf>
    <xf numFmtId="3" fontId="6" fillId="0" borderId="3" xfId="1" applyNumberFormat="1" applyFont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3" fontId="8" fillId="0" borderId="9" xfId="1" applyNumberFormat="1" applyFont="1" applyBorder="1" applyAlignment="1">
      <alignment horizontal="center" vertical="center"/>
    </xf>
    <xf numFmtId="3" fontId="10" fillId="0" borderId="16" xfId="1" applyNumberFormat="1" applyFont="1" applyBorder="1" applyAlignment="1">
      <alignment horizontal="center"/>
    </xf>
    <xf numFmtId="3" fontId="4" fillId="2" borderId="17" xfId="1" applyNumberFormat="1" applyFont="1" applyFill="1" applyBorder="1" applyAlignment="1">
      <alignment horizontal="center"/>
    </xf>
    <xf numFmtId="3" fontId="4" fillId="2" borderId="18" xfId="1" applyNumberFormat="1" applyFont="1" applyFill="1" applyBorder="1" applyAlignment="1">
      <alignment horizontal="center"/>
    </xf>
    <xf numFmtId="0" fontId="10" fillId="0" borderId="0" xfId="1" applyFont="1"/>
    <xf numFmtId="0" fontId="9" fillId="0" borderId="19" xfId="1" applyFont="1" applyBorder="1" applyAlignment="1">
      <alignment horizontal="center"/>
    </xf>
    <xf numFmtId="3" fontId="4" fillId="2" borderId="20" xfId="1" applyNumberFormat="1" applyFont="1" applyFill="1" applyBorder="1" applyAlignment="1">
      <alignment horizontal="center"/>
    </xf>
    <xf numFmtId="3" fontId="10" fillId="0" borderId="21" xfId="1" applyNumberFormat="1" applyFont="1" applyBorder="1" applyAlignment="1">
      <alignment horizontal="center"/>
    </xf>
    <xf numFmtId="3" fontId="4" fillId="2" borderId="6" xfId="1" applyNumberFormat="1" applyFont="1" applyFill="1" applyBorder="1" applyAlignment="1">
      <alignment horizontal="center"/>
    </xf>
    <xf numFmtId="3" fontId="4" fillId="2" borderId="7" xfId="1" applyNumberFormat="1" applyFont="1" applyFill="1" applyBorder="1" applyAlignment="1">
      <alignment horizontal="center"/>
    </xf>
    <xf numFmtId="0" fontId="9" fillId="0" borderId="22" xfId="1" applyFont="1" applyBorder="1" applyAlignment="1">
      <alignment horizontal="center"/>
    </xf>
    <xf numFmtId="0" fontId="14" fillId="0" borderId="0" xfId="1" applyFont="1"/>
    <xf numFmtId="0" fontId="9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10" fillId="0" borderId="27" xfId="1" applyFont="1" applyBorder="1"/>
    <xf numFmtId="0" fontId="9" fillId="0" borderId="28" xfId="1" applyFont="1" applyBorder="1" applyAlignment="1">
      <alignment horizontal="center"/>
    </xf>
    <xf numFmtId="0" fontId="10" fillId="0" borderId="29" xfId="1" applyFont="1" applyBorder="1"/>
    <xf numFmtId="0" fontId="10" fillId="0" borderId="30" xfId="1" applyFont="1" applyBorder="1"/>
    <xf numFmtId="0" fontId="10" fillId="0" borderId="31" xfId="1" applyFont="1" applyBorder="1"/>
    <xf numFmtId="0" fontId="10" fillId="0" borderId="32" xfId="1" applyFont="1" applyBorder="1"/>
    <xf numFmtId="0" fontId="9" fillId="0" borderId="33" xfId="1" applyFont="1" applyBorder="1" applyAlignment="1">
      <alignment horizontal="center"/>
    </xf>
    <xf numFmtId="3" fontId="4" fillId="2" borderId="6" xfId="1" applyNumberFormat="1" applyFont="1" applyFill="1" applyBorder="1" applyAlignment="1">
      <alignment horizontal="center" vertical="top" wrapText="1"/>
    </xf>
    <xf numFmtId="3" fontId="4" fillId="2" borderId="7" xfId="1" applyNumberFormat="1" applyFont="1" applyFill="1" applyBorder="1" applyAlignment="1">
      <alignment horizontal="center" vertical="top" wrapText="1"/>
    </xf>
    <xf numFmtId="0" fontId="13" fillId="0" borderId="8" xfId="1" applyFont="1" applyBorder="1" applyAlignment="1">
      <alignment horizontal="center" vertical="center"/>
    </xf>
    <xf numFmtId="0" fontId="8" fillId="0" borderId="35" xfId="1" applyFont="1" applyBorder="1" applyAlignment="1">
      <alignment vertical="center"/>
    </xf>
    <xf numFmtId="0" fontId="8" fillId="0" borderId="0" xfId="1" applyFont="1" applyAlignment="1">
      <alignment vertical="center"/>
    </xf>
    <xf numFmtId="3" fontId="18" fillId="3" borderId="11" xfId="1" applyNumberFormat="1" applyFont="1" applyFill="1" applyBorder="1" applyAlignment="1">
      <alignment horizontal="center"/>
    </xf>
    <xf numFmtId="3" fontId="18" fillId="3" borderId="12" xfId="1" applyNumberFormat="1" applyFont="1" applyFill="1" applyBorder="1" applyAlignment="1">
      <alignment horizontal="center"/>
    </xf>
    <xf numFmtId="0" fontId="19" fillId="0" borderId="0" xfId="1" applyFont="1"/>
    <xf numFmtId="0" fontId="10" fillId="4" borderId="31" xfId="1" applyFont="1" applyFill="1" applyBorder="1"/>
    <xf numFmtId="3" fontId="4" fillId="5" borderId="20" xfId="1" applyNumberFormat="1" applyFont="1" applyFill="1" applyBorder="1" applyAlignment="1">
      <alignment horizontal="center"/>
    </xf>
    <xf numFmtId="0" fontId="10" fillId="4" borderId="36" xfId="1" applyFont="1" applyFill="1" applyBorder="1"/>
    <xf numFmtId="0" fontId="10" fillId="4" borderId="0" xfId="1" applyFont="1" applyFill="1"/>
    <xf numFmtId="3" fontId="4" fillId="5" borderId="7" xfId="1" applyNumberFormat="1" applyFont="1" applyFill="1" applyBorder="1" applyAlignment="1">
      <alignment horizontal="center"/>
    </xf>
    <xf numFmtId="3" fontId="4" fillId="2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9" fillId="0" borderId="39" xfId="1" applyFont="1" applyBorder="1" applyAlignment="1">
      <alignment horizontal="center"/>
    </xf>
    <xf numFmtId="3" fontId="20" fillId="2" borderId="47" xfId="1" applyNumberFormat="1" applyFont="1" applyFill="1" applyBorder="1" applyAlignment="1">
      <alignment horizontal="center"/>
    </xf>
    <xf numFmtId="0" fontId="20" fillId="0" borderId="43" xfId="0" applyFont="1" applyBorder="1" applyAlignment="1">
      <alignment horizontal="center"/>
    </xf>
    <xf numFmtId="3" fontId="20" fillId="2" borderId="20" xfId="1" applyNumberFormat="1" applyFont="1" applyFill="1" applyBorder="1" applyAlignment="1">
      <alignment horizontal="center"/>
    </xf>
    <xf numFmtId="0" fontId="20" fillId="0" borderId="44" xfId="0" applyFont="1" applyBorder="1" applyAlignment="1">
      <alignment horizontal="center"/>
    </xf>
    <xf numFmtId="1" fontId="20" fillId="0" borderId="49" xfId="0" applyNumberFormat="1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10" fontId="0" fillId="0" borderId="0" xfId="0" applyNumberFormat="1"/>
    <xf numFmtId="3" fontId="4" fillId="2" borderId="51" xfId="1" applyNumberFormat="1" applyFont="1" applyFill="1" applyBorder="1" applyAlignment="1">
      <alignment horizontal="center"/>
    </xf>
    <xf numFmtId="3" fontId="10" fillId="0" borderId="52" xfId="1" applyNumberFormat="1" applyFont="1" applyBorder="1" applyAlignment="1">
      <alignment horizontal="center"/>
    </xf>
    <xf numFmtId="0" fontId="9" fillId="0" borderId="46" xfId="1" applyFont="1" applyBorder="1" applyAlignment="1">
      <alignment horizontal="center"/>
    </xf>
    <xf numFmtId="0" fontId="10" fillId="0" borderId="50" xfId="1" applyFont="1" applyBorder="1"/>
    <xf numFmtId="3" fontId="4" fillId="2" borderId="4" xfId="1" applyNumberFormat="1" applyFont="1" applyFill="1" applyBorder="1" applyAlignment="1">
      <alignment horizontal="center"/>
    </xf>
    <xf numFmtId="3" fontId="4" fillId="2" borderId="5" xfId="1" applyNumberFormat="1" applyFont="1" applyFill="1" applyBorder="1" applyAlignment="1">
      <alignment horizontal="center"/>
    </xf>
    <xf numFmtId="3" fontId="4" fillId="0" borderId="6" xfId="1" applyNumberFormat="1" applyFont="1" applyBorder="1" applyAlignment="1">
      <alignment horizontal="center"/>
    </xf>
    <xf numFmtId="0" fontId="15" fillId="0" borderId="0" xfId="1" applyFont="1" applyAlignment="1">
      <alignment vertical="top" wrapText="1"/>
    </xf>
    <xf numFmtId="3" fontId="4" fillId="0" borderId="17" xfId="1" applyNumberFormat="1" applyFont="1" applyBorder="1" applyAlignment="1">
      <alignment horizontal="center"/>
    </xf>
    <xf numFmtId="3" fontId="4" fillId="0" borderId="51" xfId="1" applyNumberFormat="1" applyFont="1" applyBorder="1" applyAlignment="1">
      <alignment horizontal="center"/>
    </xf>
    <xf numFmtId="3" fontId="18" fillId="0" borderId="11" xfId="1" applyNumberFormat="1" applyFont="1" applyBorder="1" applyAlignment="1">
      <alignment horizontal="center"/>
    </xf>
    <xf numFmtId="3" fontId="4" fillId="0" borderId="20" xfId="1" applyNumberFormat="1" applyFont="1" applyBorder="1" applyAlignment="1">
      <alignment horizontal="center"/>
    </xf>
    <xf numFmtId="3" fontId="20" fillId="2" borderId="51" xfId="1" applyNumberFormat="1" applyFont="1" applyFill="1" applyBorder="1" applyAlignment="1">
      <alignment horizontal="center"/>
    </xf>
    <xf numFmtId="3" fontId="20" fillId="2" borderId="54" xfId="1" applyNumberFormat="1" applyFont="1" applyFill="1" applyBorder="1" applyAlignment="1">
      <alignment horizontal="center"/>
    </xf>
    <xf numFmtId="0" fontId="0" fillId="0" borderId="56" xfId="0" applyBorder="1"/>
    <xf numFmtId="0" fontId="0" fillId="0" borderId="56" xfId="0" applyBorder="1" applyAlignment="1">
      <alignment horizontal="center"/>
    </xf>
    <xf numFmtId="1" fontId="0" fillId="0" borderId="56" xfId="0" applyNumberForma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3" fontId="4" fillId="2" borderId="57" xfId="1" applyNumberFormat="1" applyFont="1" applyFill="1" applyBorder="1" applyAlignment="1">
      <alignment horizontal="center"/>
    </xf>
    <xf numFmtId="3" fontId="4" fillId="2" borderId="58" xfId="1" applyNumberFormat="1" applyFont="1" applyFill="1" applyBorder="1" applyAlignment="1">
      <alignment horizontal="center"/>
    </xf>
    <xf numFmtId="3" fontId="25" fillId="0" borderId="41" xfId="1" applyNumberFormat="1" applyFont="1" applyBorder="1" applyAlignment="1">
      <alignment horizontal="center"/>
    </xf>
    <xf numFmtId="3" fontId="25" fillId="0" borderId="40" xfId="1" applyNumberFormat="1" applyFont="1" applyBorder="1" applyAlignment="1">
      <alignment horizontal="center"/>
    </xf>
    <xf numFmtId="3" fontId="25" fillId="0" borderId="55" xfId="1" applyNumberFormat="1" applyFont="1" applyBorder="1" applyAlignment="1">
      <alignment horizontal="center"/>
    </xf>
    <xf numFmtId="0" fontId="26" fillId="0" borderId="8" xfId="1" applyFont="1" applyBorder="1" applyAlignment="1">
      <alignment horizontal="center" vertical="center"/>
    </xf>
    <xf numFmtId="0" fontId="27" fillId="0" borderId="9" xfId="1" applyFont="1" applyBorder="1" applyAlignment="1">
      <alignment vertical="center"/>
    </xf>
    <xf numFmtId="3" fontId="23" fillId="0" borderId="9" xfId="1" applyNumberFormat="1" applyFont="1" applyBorder="1" applyAlignment="1">
      <alignment horizontal="center" vertical="center"/>
    </xf>
    <xf numFmtId="0" fontId="27" fillId="0" borderId="0" xfId="1" applyFont="1" applyAlignment="1">
      <alignment vertical="center"/>
    </xf>
    <xf numFmtId="0" fontId="0" fillId="0" borderId="58" xfId="0" applyBorder="1" applyAlignment="1">
      <alignment horizontal="center"/>
    </xf>
    <xf numFmtId="0" fontId="0" fillId="0" borderId="58" xfId="0" applyBorder="1"/>
    <xf numFmtId="3" fontId="0" fillId="0" borderId="0" xfId="0" applyNumberFormat="1" applyAlignment="1">
      <alignment horizontal="center"/>
    </xf>
    <xf numFmtId="3" fontId="10" fillId="0" borderId="59" xfId="1" applyNumberFormat="1" applyFont="1" applyBorder="1" applyAlignment="1">
      <alignment horizontal="center"/>
    </xf>
    <xf numFmtId="10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" fontId="0" fillId="0" borderId="58" xfId="0" applyNumberFormat="1" applyBorder="1" applyAlignment="1">
      <alignment horizontal="center"/>
    </xf>
    <xf numFmtId="3" fontId="10" fillId="0" borderId="25" xfId="1" applyNumberFormat="1" applyFont="1" applyBorder="1" applyAlignment="1">
      <alignment horizontal="center"/>
    </xf>
    <xf numFmtId="3" fontId="10" fillId="0" borderId="22" xfId="1" applyNumberFormat="1" applyFont="1" applyBorder="1" applyAlignment="1">
      <alignment horizontal="center"/>
    </xf>
    <xf numFmtId="0" fontId="9" fillId="0" borderId="60" xfId="1" applyFont="1" applyBorder="1" applyAlignment="1">
      <alignment horizontal="center"/>
    </xf>
    <xf numFmtId="0" fontId="10" fillId="0" borderId="61" xfId="1" applyFont="1" applyBorder="1"/>
    <xf numFmtId="0" fontId="10" fillId="0" borderId="63" xfId="1" applyFont="1" applyBorder="1"/>
    <xf numFmtId="0" fontId="10" fillId="0" borderId="65" xfId="1" applyFont="1" applyBorder="1"/>
    <xf numFmtId="3" fontId="10" fillId="0" borderId="66" xfId="1" applyNumberFormat="1" applyFont="1" applyBorder="1" applyAlignment="1">
      <alignment horizontal="center"/>
    </xf>
    <xf numFmtId="3" fontId="10" fillId="0" borderId="67" xfId="1" applyNumberFormat="1" applyFont="1" applyBorder="1" applyAlignment="1">
      <alignment horizontal="center"/>
    </xf>
    <xf numFmtId="0" fontId="0" fillId="0" borderId="68" xfId="0" applyBorder="1"/>
    <xf numFmtId="0" fontId="0" fillId="0" borderId="68" xfId="0" applyBorder="1" applyAlignment="1">
      <alignment horizontal="center"/>
    </xf>
    <xf numFmtId="0" fontId="15" fillId="0" borderId="40" xfId="1" applyFont="1" applyBorder="1" applyAlignment="1">
      <alignment vertical="top" wrapText="1"/>
    </xf>
    <xf numFmtId="0" fontId="15" fillId="0" borderId="70" xfId="1" applyFont="1" applyBorder="1" applyAlignment="1">
      <alignment vertical="top" wrapText="1"/>
    </xf>
    <xf numFmtId="3" fontId="10" fillId="0" borderId="71" xfId="1" applyNumberFormat="1" applyFont="1" applyBorder="1" applyAlignment="1">
      <alignment horizontal="center"/>
    </xf>
    <xf numFmtId="3" fontId="27" fillId="0" borderId="0" xfId="1" applyNumberFormat="1" applyFont="1" applyAlignment="1">
      <alignment vertical="center"/>
    </xf>
    <xf numFmtId="1" fontId="0" fillId="0" borderId="0" xfId="0" applyNumberFormat="1"/>
    <xf numFmtId="3" fontId="10" fillId="4" borderId="21" xfId="1" applyNumberFormat="1" applyFont="1" applyFill="1" applyBorder="1" applyAlignment="1">
      <alignment horizontal="center"/>
    </xf>
    <xf numFmtId="3" fontId="15" fillId="0" borderId="73" xfId="1" applyNumberFormat="1" applyFont="1" applyBorder="1" applyAlignment="1">
      <alignment horizontal="center"/>
    </xf>
    <xf numFmtId="3" fontId="10" fillId="0" borderId="73" xfId="1" applyNumberFormat="1" applyFont="1" applyBorder="1" applyAlignment="1">
      <alignment horizontal="center"/>
    </xf>
    <xf numFmtId="3" fontId="15" fillId="0" borderId="66" xfId="1" applyNumberFormat="1" applyFont="1" applyBorder="1" applyAlignment="1">
      <alignment horizontal="center"/>
    </xf>
    <xf numFmtId="3" fontId="15" fillId="0" borderId="75" xfId="1" applyNumberFormat="1" applyFont="1" applyBorder="1" applyAlignment="1">
      <alignment horizontal="center"/>
    </xf>
    <xf numFmtId="3" fontId="15" fillId="2" borderId="73" xfId="1" applyNumberFormat="1" applyFont="1" applyFill="1" applyBorder="1" applyAlignment="1">
      <alignment horizontal="center"/>
    </xf>
    <xf numFmtId="3" fontId="15" fillId="0" borderId="71" xfId="1" applyNumberFormat="1" applyFont="1" applyBorder="1" applyAlignment="1">
      <alignment horizontal="center" vertical="top" wrapText="1"/>
    </xf>
    <xf numFmtId="3" fontId="10" fillId="4" borderId="73" xfId="1" applyNumberFormat="1" applyFont="1" applyFill="1" applyBorder="1" applyAlignment="1">
      <alignment horizontal="center"/>
    </xf>
    <xf numFmtId="3" fontId="10" fillId="4" borderId="71" xfId="1" applyNumberFormat="1" applyFont="1" applyFill="1" applyBorder="1" applyAlignment="1">
      <alignment horizontal="center"/>
    </xf>
    <xf numFmtId="3" fontId="6" fillId="0" borderId="78" xfId="1" applyNumberFormat="1" applyFont="1" applyBorder="1" applyAlignment="1">
      <alignment horizontal="center" vertical="center" wrapText="1"/>
    </xf>
    <xf numFmtId="3" fontId="6" fillId="0" borderId="79" xfId="1" applyNumberFormat="1" applyFont="1" applyBorder="1" applyAlignment="1">
      <alignment horizontal="center" vertical="center" wrapText="1"/>
    </xf>
    <xf numFmtId="3" fontId="23" fillId="0" borderId="8" xfId="1" applyNumberFormat="1" applyFont="1" applyBorder="1" applyAlignment="1">
      <alignment horizontal="center" vertical="center"/>
    </xf>
    <xf numFmtId="3" fontId="8" fillId="0" borderId="8" xfId="1" applyNumberFormat="1" applyFont="1" applyBorder="1" applyAlignment="1">
      <alignment horizontal="center" vertical="center"/>
    </xf>
    <xf numFmtId="9" fontId="23" fillId="0" borderId="0" xfId="1" applyNumberFormat="1" applyFont="1" applyAlignment="1">
      <alignment horizontal="center" vertical="center"/>
    </xf>
    <xf numFmtId="9" fontId="23" fillId="0" borderId="76" xfId="1" applyNumberFormat="1" applyFont="1" applyBorder="1" applyAlignment="1">
      <alignment horizontal="center" vertical="center"/>
    </xf>
    <xf numFmtId="9" fontId="10" fillId="0" borderId="77" xfId="1" applyNumberFormat="1" applyFont="1" applyBorder="1" applyAlignment="1">
      <alignment horizontal="center"/>
    </xf>
    <xf numFmtId="9" fontId="15" fillId="0" borderId="77" xfId="1" applyNumberFormat="1" applyFont="1" applyBorder="1" applyAlignment="1">
      <alignment horizontal="center"/>
    </xf>
    <xf numFmtId="9" fontId="10" fillId="0" borderId="59" xfId="1" applyNumberFormat="1" applyFont="1" applyBorder="1" applyAlignment="1">
      <alignment horizontal="center"/>
    </xf>
    <xf numFmtId="9" fontId="8" fillId="0" borderId="76" xfId="1" applyNumberFormat="1" applyFont="1" applyBorder="1" applyAlignment="1">
      <alignment horizontal="center" vertical="center"/>
    </xf>
    <xf numFmtId="3" fontId="23" fillId="2" borderId="24" xfId="1" applyNumberFormat="1" applyFont="1" applyFill="1" applyBorder="1" applyAlignment="1">
      <alignment horizontal="center" vertical="center"/>
    </xf>
    <xf numFmtId="3" fontId="4" fillId="2" borderId="83" xfId="1" applyNumberFormat="1" applyFont="1" applyFill="1" applyBorder="1" applyAlignment="1">
      <alignment horizontal="center"/>
    </xf>
    <xf numFmtId="3" fontId="4" fillId="2" borderId="48" xfId="1" applyNumberFormat="1" applyFont="1" applyFill="1" applyBorder="1" applyAlignment="1">
      <alignment horizontal="center"/>
    </xf>
    <xf numFmtId="3" fontId="4" fillId="2" borderId="84" xfId="1" applyNumberFormat="1" applyFont="1" applyFill="1" applyBorder="1" applyAlignment="1">
      <alignment horizontal="center"/>
    </xf>
    <xf numFmtId="3" fontId="4" fillId="2" borderId="84" xfId="1" applyNumberFormat="1" applyFont="1" applyFill="1" applyBorder="1" applyAlignment="1">
      <alignment horizontal="center" vertical="top" wrapText="1"/>
    </xf>
    <xf numFmtId="3" fontId="18" fillId="3" borderId="24" xfId="1" applyNumberFormat="1" applyFont="1" applyFill="1" applyBorder="1" applyAlignment="1">
      <alignment horizontal="center"/>
    </xf>
    <xf numFmtId="3" fontId="17" fillId="0" borderId="24" xfId="1" applyNumberFormat="1" applyFont="1" applyBorder="1" applyAlignment="1">
      <alignment horizontal="center"/>
    </xf>
    <xf numFmtId="3" fontId="4" fillId="5" borderId="57" xfId="1" applyNumberFormat="1" applyFont="1" applyFill="1" applyBorder="1" applyAlignment="1">
      <alignment horizontal="center"/>
    </xf>
    <xf numFmtId="3" fontId="4" fillId="5" borderId="84" xfId="1" applyNumberFormat="1" applyFont="1" applyFill="1" applyBorder="1" applyAlignment="1">
      <alignment horizontal="center"/>
    </xf>
    <xf numFmtId="3" fontId="10" fillId="2" borderId="46" xfId="1" applyNumberFormat="1" applyFont="1" applyFill="1" applyBorder="1" applyAlignment="1">
      <alignment horizontal="center"/>
    </xf>
    <xf numFmtId="3" fontId="10" fillId="2" borderId="19" xfId="1" applyNumberFormat="1" applyFont="1" applyFill="1" applyBorder="1" applyAlignment="1">
      <alignment horizontal="center"/>
    </xf>
    <xf numFmtId="3" fontId="10" fillId="2" borderId="25" xfId="1" applyNumberFormat="1" applyFont="1" applyFill="1" applyBorder="1" applyAlignment="1">
      <alignment horizontal="center"/>
    </xf>
    <xf numFmtId="3" fontId="10" fillId="2" borderId="69" xfId="1" applyNumberFormat="1" applyFont="1" applyFill="1" applyBorder="1" applyAlignment="1">
      <alignment horizontal="center"/>
    </xf>
    <xf numFmtId="3" fontId="10" fillId="2" borderId="22" xfId="1" applyNumberFormat="1" applyFont="1" applyFill="1" applyBorder="1" applyAlignment="1">
      <alignment horizontal="center"/>
    </xf>
    <xf numFmtId="9" fontId="15" fillId="0" borderId="19" xfId="1" applyNumberFormat="1" applyFont="1" applyBorder="1" applyAlignment="1">
      <alignment horizontal="center"/>
    </xf>
    <xf numFmtId="9" fontId="15" fillId="0" borderId="19" xfId="1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wrapText="1"/>
    </xf>
    <xf numFmtId="165" fontId="22" fillId="0" borderId="43" xfId="0" applyNumberFormat="1" applyFont="1" applyBorder="1"/>
    <xf numFmtId="0" fontId="22" fillId="0" borderId="20" xfId="0" applyFont="1" applyBorder="1"/>
    <xf numFmtId="0" fontId="22" fillId="0" borderId="0" xfId="0" applyFont="1"/>
    <xf numFmtId="0" fontId="22" fillId="0" borderId="19" xfId="0" applyFont="1" applyBorder="1"/>
    <xf numFmtId="9" fontId="22" fillId="0" borderId="20" xfId="0" applyNumberFormat="1" applyFont="1" applyBorder="1"/>
    <xf numFmtId="0" fontId="22" fillId="0" borderId="86" xfId="0" applyFont="1" applyBorder="1"/>
    <xf numFmtId="165" fontId="22" fillId="0" borderId="44" xfId="0" applyNumberFormat="1" applyFont="1" applyBorder="1"/>
    <xf numFmtId="9" fontId="22" fillId="0" borderId="38" xfId="0" applyNumberFormat="1" applyFont="1" applyBorder="1"/>
    <xf numFmtId="0" fontId="28" fillId="0" borderId="0" xfId="0" applyFont="1" applyAlignment="1">
      <alignment horizontal="center"/>
    </xf>
    <xf numFmtId="0" fontId="29" fillId="0" borderId="0" xfId="0" applyFont="1"/>
    <xf numFmtId="0" fontId="28" fillId="0" borderId="0" xfId="0" applyFont="1"/>
    <xf numFmtId="0" fontId="33" fillId="0" borderId="0" xfId="0" applyFont="1" applyAlignment="1">
      <alignment horizontal="center"/>
    </xf>
    <xf numFmtId="0" fontId="34" fillId="0" borderId="0" xfId="0" applyFont="1"/>
    <xf numFmtId="0" fontId="33" fillId="0" borderId="0" xfId="0" applyFont="1"/>
    <xf numFmtId="0" fontId="35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Continuous"/>
    </xf>
    <xf numFmtId="0" fontId="35" fillId="0" borderId="40" xfId="0" applyFont="1" applyBorder="1" applyAlignment="1">
      <alignment horizontal="center"/>
    </xf>
    <xf numFmtId="0" fontId="33" fillId="0" borderId="40" xfId="0" applyFont="1" applyBorder="1"/>
    <xf numFmtId="0" fontId="38" fillId="0" borderId="87" xfId="0" applyFont="1" applyBorder="1" applyAlignment="1">
      <alignment horizontal="center"/>
    </xf>
    <xf numFmtId="0" fontId="38" fillId="0" borderId="88" xfId="0" applyFont="1" applyBorder="1"/>
    <xf numFmtId="0" fontId="39" fillId="0" borderId="88" xfId="0" applyFont="1" applyBorder="1" applyAlignment="1">
      <alignment horizontal="center"/>
    </xf>
    <xf numFmtId="0" fontId="38" fillId="0" borderId="89" xfId="0" applyFont="1" applyBorder="1"/>
    <xf numFmtId="0" fontId="40" fillId="0" borderId="4" xfId="0" applyFont="1" applyBorder="1" applyAlignment="1">
      <alignment horizontal="center" vertical="center"/>
    </xf>
    <xf numFmtId="0" fontId="40" fillId="0" borderId="89" xfId="0" applyFont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 textRotation="90"/>
    </xf>
    <xf numFmtId="0" fontId="39" fillId="0" borderId="17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 textRotation="90" wrapText="1"/>
    </xf>
    <xf numFmtId="0" fontId="38" fillId="0" borderId="51" xfId="0" applyFont="1" applyBorder="1" applyAlignment="1">
      <alignment horizontal="center" vertical="center" textRotation="90" wrapText="1"/>
    </xf>
    <xf numFmtId="9" fontId="39" fillId="0" borderId="91" xfId="0" applyNumberFormat="1" applyFont="1" applyBorder="1" applyAlignment="1">
      <alignment horizontal="center" vertical="center" textRotation="90" wrapText="1"/>
    </xf>
    <xf numFmtId="9" fontId="39" fillId="0" borderId="20" xfId="0" applyNumberFormat="1" applyFont="1" applyBorder="1" applyAlignment="1">
      <alignment horizontal="center" vertical="center" textRotation="90" wrapText="1"/>
    </xf>
    <xf numFmtId="0" fontId="33" fillId="0" borderId="0" xfId="0" applyFont="1" applyAlignment="1">
      <alignment horizontal="center" vertical="center"/>
    </xf>
    <xf numFmtId="0" fontId="38" fillId="0" borderId="43" xfId="0" applyFont="1" applyBorder="1" applyAlignment="1">
      <alignment horizontal="center"/>
    </xf>
    <xf numFmtId="14" fontId="39" fillId="0" borderId="68" xfId="0" applyNumberFormat="1" applyFont="1" applyBorder="1" applyAlignment="1">
      <alignment horizontal="center"/>
    </xf>
    <xf numFmtId="0" fontId="39" fillId="0" borderId="68" xfId="0" applyFont="1" applyBorder="1" applyAlignment="1">
      <alignment horizontal="left"/>
    </xf>
    <xf numFmtId="0" fontId="39" fillId="0" borderId="68" xfId="0" applyFont="1" applyBorder="1" applyAlignment="1">
      <alignment horizontal="center"/>
    </xf>
    <xf numFmtId="0" fontId="39" fillId="0" borderId="68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92" xfId="0" applyFont="1" applyBorder="1" applyAlignment="1">
      <alignment vertical="center"/>
    </xf>
    <xf numFmtId="0" fontId="41" fillId="0" borderId="18" xfId="0" applyFont="1" applyBorder="1" applyAlignment="1">
      <alignment vertical="center"/>
    </xf>
    <xf numFmtId="0" fontId="38" fillId="0" borderId="68" xfId="0" applyFont="1" applyBorder="1" applyAlignment="1">
      <alignment vertical="center"/>
    </xf>
    <xf numFmtId="0" fontId="38" fillId="0" borderId="91" xfId="0" applyFont="1" applyBorder="1" applyAlignment="1">
      <alignment vertical="center"/>
    </xf>
    <xf numFmtId="0" fontId="38" fillId="0" borderId="93" xfId="0" applyFont="1" applyBorder="1" applyAlignment="1">
      <alignment horizontal="left"/>
    </xf>
    <xf numFmtId="0" fontId="38" fillId="0" borderId="68" xfId="0" applyFont="1" applyBorder="1" applyAlignment="1">
      <alignment horizontal="left"/>
    </xf>
    <xf numFmtId="0" fontId="38" fillId="0" borderId="68" xfId="0" applyFont="1" applyBorder="1" applyAlignment="1">
      <alignment horizontal="center"/>
    </xf>
    <xf numFmtId="0" fontId="38" fillId="0" borderId="91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wrapText="1"/>
    </xf>
    <xf numFmtId="1" fontId="38" fillId="0" borderId="68" xfId="0" applyNumberFormat="1" applyFont="1" applyBorder="1" applyAlignment="1">
      <alignment horizontal="center" vertical="center"/>
    </xf>
    <xf numFmtId="0" fontId="39" fillId="0" borderId="17" xfId="0" applyFont="1" applyBorder="1" applyAlignment="1">
      <alignment horizontal="left"/>
    </xf>
    <xf numFmtId="0" fontId="38" fillId="0" borderId="44" xfId="0" applyFont="1" applyBorder="1" applyAlignment="1">
      <alignment horizontal="center"/>
    </xf>
    <xf numFmtId="0" fontId="40" fillId="0" borderId="49" xfId="0" applyFont="1" applyBorder="1" applyAlignment="1">
      <alignment horizontal="right"/>
    </xf>
    <xf numFmtId="0" fontId="38" fillId="0" borderId="49" xfId="0" applyFont="1" applyBorder="1"/>
    <xf numFmtId="0" fontId="39" fillId="0" borderId="49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0" fontId="38" fillId="0" borderId="0" xfId="0" applyFont="1"/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1" fillId="0" borderId="8" xfId="0" applyFont="1" applyBorder="1" applyAlignment="1">
      <alignment vertical="center"/>
    </xf>
    <xf numFmtId="1" fontId="41" fillId="0" borderId="8" xfId="0" applyNumberFormat="1" applyFont="1" applyBorder="1" applyAlignment="1">
      <alignment horizontal="center" vertical="center"/>
    </xf>
    <xf numFmtId="0" fontId="38" fillId="0" borderId="92" xfId="0" applyFont="1" applyBorder="1" applyAlignment="1">
      <alignment horizontal="center" vertical="center"/>
    </xf>
    <xf numFmtId="0" fontId="8" fillId="0" borderId="9" xfId="1" applyFont="1" applyBorder="1" applyAlignment="1">
      <alignment horizontal="right"/>
    </xf>
    <xf numFmtId="3" fontId="8" fillId="0" borderId="14" xfId="1" applyNumberFormat="1" applyFont="1" applyBorder="1" applyAlignment="1">
      <alignment horizontal="center"/>
    </xf>
    <xf numFmtId="9" fontId="8" fillId="0" borderId="76" xfId="1" applyNumberFormat="1" applyFont="1" applyBorder="1" applyAlignment="1">
      <alignment horizontal="center"/>
    </xf>
    <xf numFmtId="3" fontId="8" fillId="0" borderId="8" xfId="1" applyNumberFormat="1" applyFont="1" applyBorder="1" applyAlignment="1">
      <alignment horizontal="center"/>
    </xf>
    <xf numFmtId="3" fontId="4" fillId="0" borderId="24" xfId="1" applyNumberFormat="1" applyFont="1" applyBorder="1" applyAlignment="1">
      <alignment horizontal="center"/>
    </xf>
    <xf numFmtId="3" fontId="4" fillId="0" borderId="11" xfId="1" applyNumberFormat="1" applyFont="1" applyBorder="1" applyAlignment="1">
      <alignment horizontal="center"/>
    </xf>
    <xf numFmtId="3" fontId="4" fillId="0" borderId="12" xfId="1" applyNumberFormat="1" applyFont="1" applyBorder="1" applyAlignment="1">
      <alignment horizontal="center"/>
    </xf>
    <xf numFmtId="0" fontId="10" fillId="0" borderId="15" xfId="1" applyFont="1" applyBorder="1"/>
    <xf numFmtId="0" fontId="11" fillId="0" borderId="8" xfId="1" applyFont="1" applyBorder="1" applyAlignment="1">
      <alignment horizontal="center"/>
    </xf>
    <xf numFmtId="3" fontId="8" fillId="0" borderId="13" xfId="1" applyNumberFormat="1" applyFont="1" applyBorder="1" applyAlignment="1">
      <alignment horizontal="center"/>
    </xf>
    <xf numFmtId="0" fontId="12" fillId="0" borderId="0" xfId="1" applyFont="1"/>
    <xf numFmtId="0" fontId="13" fillId="0" borderId="8" xfId="1" applyFont="1" applyBorder="1" applyAlignment="1">
      <alignment horizontal="center"/>
    </xf>
    <xf numFmtId="0" fontId="8" fillId="0" borderId="23" xfId="1" applyFont="1" applyBorder="1" applyAlignment="1">
      <alignment horizontal="right"/>
    </xf>
    <xf numFmtId="3" fontId="8" fillId="0" borderId="10" xfId="1" applyNumberFormat="1" applyFont="1" applyBorder="1" applyAlignment="1">
      <alignment horizontal="center"/>
    </xf>
    <xf numFmtId="3" fontId="8" fillId="0" borderId="9" xfId="1" applyNumberFormat="1" applyFont="1" applyBorder="1" applyAlignment="1">
      <alignment horizontal="center"/>
    </xf>
    <xf numFmtId="0" fontId="10" fillId="0" borderId="94" xfId="1" applyFont="1" applyBorder="1"/>
    <xf numFmtId="3" fontId="4" fillId="2" borderId="95" xfId="1" applyNumberFormat="1" applyFont="1" applyFill="1" applyBorder="1" applyAlignment="1">
      <alignment horizontal="center"/>
    </xf>
    <xf numFmtId="3" fontId="4" fillId="2" borderId="68" xfId="1" applyNumberFormat="1" applyFont="1" applyFill="1" applyBorder="1" applyAlignment="1">
      <alignment horizontal="center"/>
    </xf>
    <xf numFmtId="3" fontId="10" fillId="0" borderId="0" xfId="1" applyNumberFormat="1" applyFont="1" applyAlignment="1">
      <alignment horizontal="center"/>
    </xf>
    <xf numFmtId="0" fontId="10" fillId="0" borderId="72" xfId="1" applyFont="1" applyBorder="1"/>
    <xf numFmtId="0" fontId="10" fillId="0" borderId="96" xfId="1" applyFont="1" applyBorder="1"/>
    <xf numFmtId="0" fontId="10" fillId="0" borderId="97" xfId="1" applyFont="1" applyBorder="1"/>
    <xf numFmtId="0" fontId="10" fillId="0" borderId="98" xfId="1" applyFont="1" applyBorder="1"/>
    <xf numFmtId="3" fontId="10" fillId="0" borderId="50" xfId="1" applyNumberFormat="1" applyFont="1" applyBorder="1" applyAlignment="1">
      <alignment horizontal="center"/>
    </xf>
    <xf numFmtId="3" fontId="10" fillId="0" borderId="94" xfId="1" applyNumberFormat="1" applyFont="1" applyBorder="1" applyAlignment="1">
      <alignment horizontal="center"/>
    </xf>
    <xf numFmtId="3" fontId="15" fillId="0" borderId="96" xfId="1" applyNumberFormat="1" applyFont="1" applyBorder="1" applyAlignment="1">
      <alignment horizontal="center"/>
    </xf>
    <xf numFmtId="3" fontId="10" fillId="0" borderId="46" xfId="1" applyNumberFormat="1" applyFont="1" applyBorder="1" applyAlignment="1">
      <alignment horizontal="center"/>
    </xf>
    <xf numFmtId="3" fontId="10" fillId="0" borderId="19" xfId="1" applyNumberFormat="1" applyFont="1" applyBorder="1" applyAlignment="1">
      <alignment horizontal="center"/>
    </xf>
    <xf numFmtId="3" fontId="10" fillId="0" borderId="39" xfId="1" applyNumberFormat="1" applyFont="1" applyBorder="1" applyAlignment="1">
      <alignment horizontal="center"/>
    </xf>
    <xf numFmtId="3" fontId="4" fillId="2" borderId="100" xfId="1" applyNumberFormat="1" applyFont="1" applyFill="1" applyBorder="1" applyAlignment="1">
      <alignment horizontal="center" vertical="top" wrapText="1"/>
    </xf>
    <xf numFmtId="3" fontId="4" fillId="2" borderId="101" xfId="1" applyNumberFormat="1" applyFont="1" applyFill="1" applyBorder="1" applyAlignment="1">
      <alignment horizontal="center" vertical="top" wrapText="1"/>
    </xf>
    <xf numFmtId="3" fontId="4" fillId="2" borderId="102" xfId="1" applyNumberFormat="1" applyFont="1" applyFill="1" applyBorder="1" applyAlignment="1">
      <alignment horizontal="center" vertical="top" wrapText="1"/>
    </xf>
    <xf numFmtId="0" fontId="15" fillId="0" borderId="94" xfId="1" applyFont="1" applyBorder="1" applyAlignment="1">
      <alignment vertical="top" wrapText="1"/>
    </xf>
    <xf numFmtId="3" fontId="15" fillId="0" borderId="103" xfId="1" applyNumberFormat="1" applyFont="1" applyBorder="1" applyAlignment="1">
      <alignment horizontal="center" vertical="top" wrapText="1"/>
    </xf>
    <xf numFmtId="3" fontId="15" fillId="0" borderId="67" xfId="1" applyNumberFormat="1" applyFont="1" applyBorder="1" applyAlignment="1">
      <alignment horizontal="center" vertical="top" wrapText="1"/>
    </xf>
    <xf numFmtId="0" fontId="15" fillId="0" borderId="99" xfId="1" applyFont="1" applyBorder="1" applyAlignment="1">
      <alignment vertical="top" wrapText="1"/>
    </xf>
    <xf numFmtId="3" fontId="10" fillId="0" borderId="74" xfId="1" applyNumberFormat="1" applyFont="1" applyBorder="1" applyAlignment="1">
      <alignment horizontal="center"/>
    </xf>
    <xf numFmtId="3" fontId="15" fillId="0" borderId="74" xfId="1" applyNumberFormat="1" applyFont="1" applyBorder="1" applyAlignment="1">
      <alignment horizontal="center" vertical="top" wrapText="1"/>
    </xf>
    <xf numFmtId="0" fontId="48" fillId="0" borderId="40" xfId="0" applyFont="1" applyBorder="1"/>
    <xf numFmtId="0" fontId="39" fillId="0" borderId="68" xfId="0" applyFont="1" applyBorder="1" applyAlignment="1">
      <alignment horizontal="center" vertical="center" textRotation="90" wrapText="1"/>
    </xf>
    <xf numFmtId="0" fontId="38" fillId="0" borderId="68" xfId="0" applyFont="1" applyBorder="1" applyAlignment="1">
      <alignment horizontal="center" vertical="center" textRotation="90" wrapText="1"/>
    </xf>
    <xf numFmtId="9" fontId="39" fillId="0" borderId="104" xfId="0" applyNumberFormat="1" applyFont="1" applyBorder="1" applyAlignment="1">
      <alignment horizontal="center" vertical="center" textRotation="90" wrapText="1"/>
    </xf>
    <xf numFmtId="0" fontId="38" fillId="2" borderId="43" xfId="0" applyFont="1" applyFill="1" applyBorder="1" applyAlignment="1">
      <alignment horizontal="center"/>
    </xf>
    <xf numFmtId="0" fontId="38" fillId="2" borderId="95" xfId="0" applyFont="1" applyFill="1" applyBorder="1" applyAlignment="1">
      <alignment horizontal="center"/>
    </xf>
    <xf numFmtId="0" fontId="38" fillId="2" borderId="94" xfId="0" applyFont="1" applyFill="1" applyBorder="1" applyAlignment="1">
      <alignment horizontal="left"/>
    </xf>
    <xf numFmtId="0" fontId="38" fillId="2" borderId="17" xfId="0" applyFont="1" applyFill="1" applyBorder="1" applyAlignment="1">
      <alignment horizontal="center"/>
    </xf>
    <xf numFmtId="0" fontId="38" fillId="2" borderId="94" xfId="0" applyFont="1" applyFill="1" applyBorder="1" applyAlignment="1">
      <alignment horizontal="center" vertical="center"/>
    </xf>
    <xf numFmtId="0" fontId="38" fillId="2" borderId="68" xfId="0" applyFont="1" applyFill="1" applyBorder="1" applyAlignment="1">
      <alignment horizontal="center"/>
    </xf>
    <xf numFmtId="0" fontId="38" fillId="2" borderId="68" xfId="0" applyFont="1" applyFill="1" applyBorder="1" applyAlignment="1">
      <alignment horizontal="center" vertical="top"/>
    </xf>
    <xf numFmtId="16" fontId="38" fillId="2" borderId="95" xfId="0" applyNumberFormat="1" applyFont="1" applyFill="1" applyBorder="1" applyAlignment="1">
      <alignment horizontal="center"/>
    </xf>
    <xf numFmtId="0" fontId="38" fillId="2" borderId="17" xfId="0" applyFont="1" applyFill="1" applyBorder="1" applyAlignment="1">
      <alignment horizontal="left"/>
    </xf>
    <xf numFmtId="1" fontId="38" fillId="2" borderId="17" xfId="0" applyNumberFormat="1" applyFont="1" applyFill="1" applyBorder="1" applyAlignment="1">
      <alignment horizontal="center" vertical="center"/>
    </xf>
    <xf numFmtId="1" fontId="38" fillId="2" borderId="92" xfId="0" applyNumberFormat="1" applyFont="1" applyFill="1" applyBorder="1" applyAlignment="1">
      <alignment horizontal="center" vertical="center"/>
    </xf>
    <xf numFmtId="0" fontId="38" fillId="2" borderId="83" xfId="0" applyFont="1" applyFill="1" applyBorder="1" applyAlignment="1">
      <alignment horizontal="center"/>
    </xf>
    <xf numFmtId="0" fontId="38" fillId="2" borderId="99" xfId="0" applyFont="1" applyFill="1" applyBorder="1" applyAlignment="1">
      <alignment horizontal="center" vertical="center"/>
    </xf>
    <xf numFmtId="0" fontId="38" fillId="2" borderId="17" xfId="0" applyFont="1" applyFill="1" applyBorder="1" applyAlignment="1">
      <alignment horizontal="center" vertical="top"/>
    </xf>
    <xf numFmtId="0" fontId="38" fillId="2" borderId="92" xfId="0" applyFont="1" applyFill="1" applyBorder="1" applyAlignment="1">
      <alignment horizontal="center"/>
    </xf>
    <xf numFmtId="0" fontId="39" fillId="2" borderId="68" xfId="0" applyFont="1" applyFill="1" applyBorder="1" applyAlignment="1">
      <alignment horizontal="left"/>
    </xf>
    <xf numFmtId="1" fontId="38" fillId="2" borderId="68" xfId="0" applyNumberFormat="1" applyFont="1" applyFill="1" applyBorder="1" applyAlignment="1">
      <alignment horizontal="center" vertical="center"/>
    </xf>
    <xf numFmtId="1" fontId="38" fillId="2" borderId="104" xfId="0" applyNumberFormat="1" applyFont="1" applyFill="1" applyBorder="1" applyAlignment="1">
      <alignment horizontal="center" vertical="center"/>
    </xf>
    <xf numFmtId="16" fontId="38" fillId="2" borderId="68" xfId="0" applyNumberFormat="1" applyFont="1" applyFill="1" applyBorder="1" applyAlignment="1">
      <alignment horizontal="center"/>
    </xf>
    <xf numFmtId="0" fontId="38" fillId="2" borderId="68" xfId="0" applyFont="1" applyFill="1" applyBorder="1" applyAlignment="1">
      <alignment horizontal="left"/>
    </xf>
    <xf numFmtId="1" fontId="38" fillId="2" borderId="68" xfId="0" applyNumberFormat="1" applyFont="1" applyFill="1" applyBorder="1" applyAlignment="1">
      <alignment vertical="center"/>
    </xf>
    <xf numFmtId="0" fontId="38" fillId="2" borderId="101" xfId="0" applyFont="1" applyFill="1" applyBorder="1" applyAlignment="1">
      <alignment horizontal="left"/>
    </xf>
    <xf numFmtId="0" fontId="38" fillId="2" borderId="101" xfId="0" applyFont="1" applyFill="1" applyBorder="1" applyAlignment="1">
      <alignment horizontal="center"/>
    </xf>
    <xf numFmtId="1" fontId="38" fillId="2" borderId="101" xfId="0" applyNumberFormat="1" applyFont="1" applyFill="1" applyBorder="1" applyAlignment="1">
      <alignment vertical="center"/>
    </xf>
    <xf numFmtId="1" fontId="38" fillId="2" borderId="101" xfId="0" applyNumberFormat="1" applyFont="1" applyFill="1" applyBorder="1" applyAlignment="1">
      <alignment horizontal="center" vertical="center"/>
    </xf>
    <xf numFmtId="1" fontId="38" fillId="2" borderId="105" xfId="0" applyNumberFormat="1" applyFont="1" applyFill="1" applyBorder="1" applyAlignment="1">
      <alignment horizontal="center" vertical="center"/>
    </xf>
    <xf numFmtId="0" fontId="38" fillId="2" borderId="68" xfId="0" applyFont="1" applyFill="1" applyBorder="1" applyAlignment="1">
      <alignment horizontal="center" vertical="center"/>
    </xf>
    <xf numFmtId="0" fontId="38" fillId="2" borderId="104" xfId="0" applyFont="1" applyFill="1" applyBorder="1" applyAlignment="1">
      <alignment horizontal="center" vertical="center"/>
    </xf>
    <xf numFmtId="14" fontId="39" fillId="2" borderId="68" xfId="0" applyNumberFormat="1" applyFont="1" applyFill="1" applyBorder="1" applyAlignment="1">
      <alignment horizontal="center"/>
    </xf>
    <xf numFmtId="0" fontId="47" fillId="0" borderId="68" xfId="0" applyFont="1" applyBorder="1" applyAlignment="1">
      <alignment horizontal="center"/>
    </xf>
    <xf numFmtId="0" fontId="47" fillId="0" borderId="68" xfId="0" applyFont="1" applyBorder="1"/>
    <xf numFmtId="0" fontId="47" fillId="0" borderId="95" xfId="0" applyFont="1" applyBorder="1"/>
    <xf numFmtId="0" fontId="28" fillId="0" borderId="68" xfId="0" applyFont="1" applyBorder="1" applyAlignment="1">
      <alignment horizontal="center"/>
    </xf>
    <xf numFmtId="0" fontId="28" fillId="0" borderId="68" xfId="0" applyFont="1" applyBorder="1"/>
    <xf numFmtId="166" fontId="4" fillId="0" borderId="68" xfId="3" applyNumberFormat="1" applyFont="1" applyBorder="1" applyAlignment="1">
      <alignment horizontal="left" vertical="center"/>
    </xf>
    <xf numFmtId="1" fontId="28" fillId="0" borderId="95" xfId="0" applyNumberFormat="1" applyFont="1" applyBorder="1" applyAlignment="1">
      <alignment horizontal="left"/>
    </xf>
    <xf numFmtId="0" fontId="28" fillId="0" borderId="95" xfId="0" applyFont="1" applyBorder="1"/>
    <xf numFmtId="0" fontId="28" fillId="0" borderId="95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0" fontId="28" fillId="0" borderId="104" xfId="0" applyFont="1" applyBorder="1"/>
    <xf numFmtId="166" fontId="47" fillId="0" borderId="0" xfId="0" applyNumberFormat="1" applyFont="1"/>
    <xf numFmtId="2" fontId="41" fillId="2" borderId="18" xfId="0" applyNumberFormat="1" applyFont="1" applyFill="1" applyBorder="1" applyAlignment="1">
      <alignment vertical="center"/>
    </xf>
    <xf numFmtId="2" fontId="28" fillId="0" borderId="0" xfId="0" applyNumberFormat="1" applyFont="1"/>
    <xf numFmtId="0" fontId="39" fillId="2" borderId="101" xfId="0" applyFont="1" applyFill="1" applyBorder="1" applyAlignment="1">
      <alignment horizontal="left"/>
    </xf>
    <xf numFmtId="0" fontId="38" fillId="2" borderId="101" xfId="0" applyFont="1" applyFill="1" applyBorder="1" applyAlignment="1">
      <alignment horizontal="center" vertical="center"/>
    </xf>
    <xf numFmtId="0" fontId="38" fillId="2" borderId="105" xfId="0" applyFont="1" applyFill="1" applyBorder="1" applyAlignment="1">
      <alignment horizontal="center" vertical="center"/>
    </xf>
    <xf numFmtId="0" fontId="47" fillId="0" borderId="99" xfId="0" applyFont="1" applyBorder="1"/>
    <xf numFmtId="2" fontId="28" fillId="0" borderId="68" xfId="2" applyNumberFormat="1" applyFont="1" applyBorder="1" applyAlignment="1">
      <alignment horizontal="left" vertical="center"/>
    </xf>
    <xf numFmtId="167" fontId="28" fillId="0" borderId="0" xfId="0" applyNumberFormat="1" applyFont="1"/>
    <xf numFmtId="166" fontId="28" fillId="0" borderId="0" xfId="0" applyNumberFormat="1" applyFont="1"/>
    <xf numFmtId="0" fontId="47" fillId="0" borderId="106" xfId="0" applyFont="1" applyBorder="1"/>
    <xf numFmtId="0" fontId="16" fillId="0" borderId="8" xfId="1" applyFont="1" applyBorder="1" applyAlignment="1">
      <alignment horizontal="center"/>
    </xf>
    <xf numFmtId="0" fontId="17" fillId="0" borderId="9" xfId="1" applyFont="1" applyBorder="1"/>
    <xf numFmtId="3" fontId="17" fillId="0" borderId="14" xfId="1" applyNumberFormat="1" applyFont="1" applyBorder="1" applyAlignment="1">
      <alignment horizontal="center"/>
    </xf>
    <xf numFmtId="9" fontId="17" fillId="0" borderId="76" xfId="1" applyNumberFormat="1" applyFont="1" applyBorder="1" applyAlignment="1">
      <alignment horizontal="center"/>
    </xf>
    <xf numFmtId="3" fontId="17" fillId="0" borderId="8" xfId="1" applyNumberFormat="1" applyFont="1" applyBorder="1" applyAlignment="1">
      <alignment horizontal="center"/>
    </xf>
    <xf numFmtId="0" fontId="10" fillId="0" borderId="34" xfId="1" applyFont="1" applyBorder="1"/>
    <xf numFmtId="3" fontId="10" fillId="0" borderId="53" xfId="1" applyNumberFormat="1" applyFont="1" applyBorder="1" applyAlignment="1">
      <alignment horizontal="center"/>
    </xf>
    <xf numFmtId="3" fontId="10" fillId="0" borderId="69" xfId="1" applyNumberFormat="1" applyFont="1" applyBorder="1" applyAlignment="1">
      <alignment horizontal="center"/>
    </xf>
    <xf numFmtId="0" fontId="17" fillId="0" borderId="35" xfId="1" applyFont="1" applyBorder="1"/>
    <xf numFmtId="3" fontId="17" fillId="0" borderId="9" xfId="1" applyNumberFormat="1" applyFont="1" applyBorder="1" applyAlignment="1">
      <alignment horizontal="center"/>
    </xf>
    <xf numFmtId="0" fontId="23" fillId="0" borderId="23" xfId="1" applyFont="1" applyBorder="1" applyAlignment="1">
      <alignment horizontal="right"/>
    </xf>
    <xf numFmtId="3" fontId="23" fillId="0" borderId="10" xfId="1" applyNumberFormat="1" applyFont="1" applyBorder="1" applyAlignment="1">
      <alignment horizontal="center"/>
    </xf>
    <xf numFmtId="3" fontId="23" fillId="0" borderId="9" xfId="1" applyNumberFormat="1" applyFont="1" applyBorder="1" applyAlignment="1">
      <alignment horizontal="center"/>
    </xf>
    <xf numFmtId="9" fontId="23" fillId="0" borderId="76" xfId="1" applyNumberFormat="1" applyFont="1" applyBorder="1" applyAlignment="1">
      <alignment horizontal="center"/>
    </xf>
    <xf numFmtId="3" fontId="23" fillId="0" borderId="8" xfId="1" applyNumberFormat="1" applyFont="1" applyBorder="1" applyAlignment="1">
      <alignment horizontal="center"/>
    </xf>
    <xf numFmtId="3" fontId="15" fillId="0" borderId="24" xfId="1" applyNumberFormat="1" applyFont="1" applyBorder="1" applyAlignment="1">
      <alignment horizontal="center"/>
    </xf>
    <xf numFmtId="0" fontId="50" fillId="0" borderId="0" xfId="1" applyFont="1"/>
    <xf numFmtId="3" fontId="15" fillId="0" borderId="99" xfId="1" applyNumberFormat="1" applyFont="1" applyBorder="1" applyAlignment="1">
      <alignment horizontal="center"/>
    </xf>
    <xf numFmtId="1" fontId="41" fillId="0" borderId="18" xfId="0" applyNumberFormat="1" applyFont="1" applyBorder="1" applyAlignment="1">
      <alignment vertical="center"/>
    </xf>
    <xf numFmtId="0" fontId="38" fillId="2" borderId="107" xfId="0" applyFont="1" applyFill="1" applyBorder="1" applyAlignment="1">
      <alignment horizontal="center" vertical="center"/>
    </xf>
    <xf numFmtId="2" fontId="0" fillId="0" borderId="0" xfId="0" applyNumberFormat="1"/>
    <xf numFmtId="3" fontId="10" fillId="0" borderId="80" xfId="1" applyNumberFormat="1" applyFont="1" applyBorder="1" applyAlignment="1">
      <alignment horizontal="center" vertical="center"/>
    </xf>
    <xf numFmtId="3" fontId="10" fillId="0" borderId="81" xfId="1" applyNumberFormat="1" applyFont="1" applyBorder="1" applyAlignment="1">
      <alignment horizontal="center" vertical="center"/>
    </xf>
    <xf numFmtId="3" fontId="10" fillId="0" borderId="82" xfId="1" applyNumberFormat="1" applyFont="1" applyBorder="1" applyAlignment="1">
      <alignment horizontal="center" vertical="center"/>
    </xf>
    <xf numFmtId="3" fontId="4" fillId="2" borderId="48" xfId="1" applyNumberFormat="1" applyFont="1" applyFill="1" applyBorder="1" applyAlignment="1">
      <alignment horizontal="center" vertical="center"/>
    </xf>
    <xf numFmtId="3" fontId="4" fillId="2" borderId="57" xfId="1" applyNumberFormat="1" applyFont="1" applyFill="1" applyBorder="1" applyAlignment="1">
      <alignment horizontal="center" vertical="center"/>
    </xf>
    <xf numFmtId="3" fontId="4" fillId="2" borderId="85" xfId="1" applyNumberFormat="1" applyFont="1" applyFill="1" applyBorder="1" applyAlignment="1">
      <alignment horizontal="center" vertical="center"/>
    </xf>
    <xf numFmtId="9" fontId="10" fillId="0" borderId="62" xfId="1" applyNumberFormat="1" applyFont="1" applyBorder="1" applyAlignment="1">
      <alignment horizontal="center" vertical="center"/>
    </xf>
    <xf numFmtId="9" fontId="10" fillId="0" borderId="37" xfId="1" applyNumberFormat="1" applyFont="1" applyBorder="1" applyAlignment="1">
      <alignment horizontal="center" vertical="center"/>
    </xf>
    <xf numFmtId="9" fontId="10" fillId="0" borderId="64" xfId="1" applyNumberFormat="1" applyFont="1" applyBorder="1" applyAlignment="1">
      <alignment horizontal="center" vertical="center"/>
    </xf>
    <xf numFmtId="3" fontId="10" fillId="0" borderId="62" xfId="1" applyNumberFormat="1" applyFont="1" applyBorder="1" applyAlignment="1">
      <alignment horizontal="center" vertical="center"/>
    </xf>
    <xf numFmtId="3" fontId="10" fillId="0" borderId="37" xfId="1" applyNumberFormat="1" applyFont="1" applyBorder="1" applyAlignment="1">
      <alignment horizontal="center" vertical="center"/>
    </xf>
    <xf numFmtId="3" fontId="10" fillId="0" borderId="6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3" fontId="4" fillId="2" borderId="5" xfId="1" applyNumberFormat="1" applyFont="1" applyFill="1" applyBorder="1" applyAlignment="1">
      <alignment horizontal="center" vertical="center"/>
    </xf>
    <xf numFmtId="3" fontId="4" fillId="2" borderId="20" xfId="1" applyNumberFormat="1" applyFont="1" applyFill="1" applyBorder="1" applyAlignment="1">
      <alignment horizontal="center" vertical="center"/>
    </xf>
    <xf numFmtId="3" fontId="4" fillId="2" borderId="38" xfId="1" applyNumberFormat="1" applyFont="1" applyFill="1" applyBorder="1" applyAlignment="1">
      <alignment horizontal="center"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58" xfId="1" applyNumberFormat="1" applyFont="1" applyFill="1" applyBorder="1" applyAlignment="1">
      <alignment horizontal="center" vertical="center"/>
    </xf>
    <xf numFmtId="3" fontId="4" fillId="2" borderId="49" xfId="1" applyNumberFormat="1" applyFont="1" applyFill="1" applyBorder="1" applyAlignment="1">
      <alignment horizontal="center" vertical="center"/>
    </xf>
    <xf numFmtId="1" fontId="22" fillId="0" borderId="76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7" fillId="0" borderId="99" xfId="0" applyFont="1" applyBorder="1" applyAlignment="1">
      <alignment horizontal="center"/>
    </xf>
  </cellXfs>
  <cellStyles count="6">
    <cellStyle name="Normal_tame 2010 gadam" xfId="1" xr:uid="{9F908E8D-A17B-354A-BD19-D104F304DB6E}"/>
    <cellStyle name="Parasts" xfId="0" builtinId="0"/>
    <cellStyle name="Parasts 3" xfId="2" xr:uid="{250A0FBA-5B87-7646-A856-8FF8275C180D}"/>
    <cellStyle name="Parasts 3 2" xfId="5" xr:uid="{9063F047-3CAA-4D7F-B30F-1986A805469B}"/>
    <cellStyle name="Valūta 2" xfId="3" xr:uid="{D5C4B8BB-5241-C043-ACD4-ED42082AEA0F}"/>
    <cellStyle name="Valūta 3" xfId="4" xr:uid="{56397CE9-C825-4132-8692-C859C61FD930}"/>
  </cellStyles>
  <dxfs count="0"/>
  <tableStyles count="0" defaultTableStyle="TableStyleMedium2" defaultPivotStyle="PivotStyleLight16"/>
  <colors>
    <mruColors>
      <color rgb="FF00B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150E-C658-2744-9892-1021E3B96184}">
  <sheetPr>
    <pageSetUpPr fitToPage="1"/>
  </sheetPr>
  <dimension ref="A1:V88"/>
  <sheetViews>
    <sheetView tabSelected="1" zoomScale="90" zoomScaleNormal="90" workbookViewId="0">
      <pane xSplit="6" ySplit="3" topLeftCell="G11" activePane="bottomRight" state="frozen"/>
      <selection pane="topRight" activeCell="G1" sqref="G1"/>
      <selection pane="bottomLeft" activeCell="A7" sqref="A7"/>
      <selection pane="bottomRight" activeCell="D46" sqref="D46"/>
    </sheetView>
  </sheetViews>
  <sheetFormatPr defaultColWidth="9" defaultRowHeight="15.5" outlineLevelCol="1" x14ac:dyDescent="0.35"/>
  <cols>
    <col min="1" max="1" width="10" style="1" customWidth="1"/>
    <col min="2" max="2" width="70.83203125" style="3" customWidth="1"/>
    <col min="3" max="3" width="11.33203125" style="4" customWidth="1"/>
    <col min="4" max="4" width="11.83203125" style="4" customWidth="1"/>
    <col min="5" max="5" width="9.6640625" style="4" hidden="1" customWidth="1"/>
    <col min="6" max="6" width="11.33203125" style="4" customWidth="1"/>
    <col min="7" max="18" width="11.83203125" style="45" customWidth="1" outlineLevel="1"/>
    <col min="19" max="19" width="9" style="3"/>
    <col min="20" max="20" width="10.83203125" style="3" customWidth="1"/>
    <col min="21" max="21" width="9.33203125" style="3" bestFit="1" customWidth="1"/>
    <col min="22" max="16384" width="9" style="3"/>
  </cols>
  <sheetData>
    <row r="1" spans="1:22" ht="20" customHeight="1" x14ac:dyDescent="0.35">
      <c r="A1" s="349" t="s">
        <v>0</v>
      </c>
      <c r="B1" s="349"/>
      <c r="C1" s="5"/>
      <c r="D1" s="5"/>
      <c r="E1" s="122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2" ht="20" customHeight="1" thickBot="1" x14ac:dyDescent="0.4">
      <c r="A2" s="349" t="s">
        <v>123</v>
      </c>
      <c r="B2" s="349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2" s="10" customFormat="1" ht="32.25" customHeight="1" thickBot="1" x14ac:dyDescent="0.4">
      <c r="A3" s="350"/>
      <c r="B3" s="351"/>
      <c r="C3" s="7" t="s">
        <v>105</v>
      </c>
      <c r="D3" s="7" t="s">
        <v>115</v>
      </c>
      <c r="E3" s="119" t="s">
        <v>126</v>
      </c>
      <c r="F3" s="118" t="s">
        <v>116</v>
      </c>
      <c r="G3" s="8" t="s">
        <v>1</v>
      </c>
      <c r="H3" s="8" t="s">
        <v>2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9" t="s">
        <v>12</v>
      </c>
    </row>
    <row r="4" spans="1:22" s="86" customFormat="1" ht="32" customHeight="1" thickBot="1" x14ac:dyDescent="0.4">
      <c r="A4" s="83">
        <v>1</v>
      </c>
      <c r="B4" s="84" t="s">
        <v>53</v>
      </c>
      <c r="C4" s="85">
        <f>C5+C15+C20</f>
        <v>956511.02</v>
      </c>
      <c r="D4" s="85">
        <f>D5+D15+D20</f>
        <v>1112337</v>
      </c>
      <c r="E4" s="123">
        <f>(D4-C4)/C4</f>
        <v>0.16291080472862715</v>
      </c>
      <c r="F4" s="120">
        <f t="shared" ref="F4:R4" si="0">F5+F15+F20</f>
        <v>41464.619999999995</v>
      </c>
      <c r="G4" s="128">
        <f t="shared" si="0"/>
        <v>12638</v>
      </c>
      <c r="H4" s="128">
        <f t="shared" si="0"/>
        <v>28826.62</v>
      </c>
      <c r="I4" s="128">
        <f t="shared" si="0"/>
        <v>0</v>
      </c>
      <c r="J4" s="128">
        <f t="shared" si="0"/>
        <v>0</v>
      </c>
      <c r="K4" s="128">
        <f t="shared" si="0"/>
        <v>0</v>
      </c>
      <c r="L4" s="128">
        <f t="shared" si="0"/>
        <v>0</v>
      </c>
      <c r="M4" s="128">
        <f t="shared" si="0"/>
        <v>0</v>
      </c>
      <c r="N4" s="128">
        <f t="shared" si="0"/>
        <v>0</v>
      </c>
      <c r="O4" s="128">
        <f t="shared" si="0"/>
        <v>0</v>
      </c>
      <c r="P4" s="128">
        <f t="shared" si="0"/>
        <v>0</v>
      </c>
      <c r="Q4" s="128">
        <f t="shared" si="0"/>
        <v>0</v>
      </c>
      <c r="R4" s="128">
        <f t="shared" si="0"/>
        <v>0</v>
      </c>
      <c r="V4" s="107"/>
    </row>
    <row r="5" spans="1:22" s="233" customFormat="1" ht="16.5" customHeight="1" thickBot="1" x14ac:dyDescent="0.35">
      <c r="A5" s="231" t="s">
        <v>13</v>
      </c>
      <c r="B5" s="223" t="s">
        <v>399</v>
      </c>
      <c r="C5" s="232">
        <f t="shared" ref="C5:R5" si="1">SUM(C6:C14)</f>
        <v>584214.5</v>
      </c>
      <c r="D5" s="224">
        <f t="shared" si="1"/>
        <v>688937</v>
      </c>
      <c r="E5" s="225"/>
      <c r="F5" s="226">
        <f t="shared" si="1"/>
        <v>15306</v>
      </c>
      <c r="G5" s="227">
        <f t="shared" si="1"/>
        <v>0</v>
      </c>
      <c r="H5" s="228">
        <f t="shared" si="1"/>
        <v>15306</v>
      </c>
      <c r="I5" s="228">
        <f t="shared" si="1"/>
        <v>0</v>
      </c>
      <c r="J5" s="228">
        <f t="shared" si="1"/>
        <v>0</v>
      </c>
      <c r="K5" s="228">
        <f t="shared" si="1"/>
        <v>0</v>
      </c>
      <c r="L5" s="228">
        <f t="shared" si="1"/>
        <v>0</v>
      </c>
      <c r="M5" s="228">
        <f t="shared" si="1"/>
        <v>0</v>
      </c>
      <c r="N5" s="228">
        <f t="shared" si="1"/>
        <v>0</v>
      </c>
      <c r="O5" s="228">
        <f t="shared" si="1"/>
        <v>0</v>
      </c>
      <c r="P5" s="228">
        <f t="shared" si="1"/>
        <v>0</v>
      </c>
      <c r="Q5" s="228">
        <f t="shared" si="1"/>
        <v>0</v>
      </c>
      <c r="R5" s="228">
        <f t="shared" si="1"/>
        <v>0</v>
      </c>
    </row>
    <row r="6" spans="1:22" s="15" customFormat="1" ht="14" x14ac:dyDescent="0.3">
      <c r="A6" s="62" t="s">
        <v>14</v>
      </c>
      <c r="B6" s="63" t="s">
        <v>119</v>
      </c>
      <c r="C6" s="249">
        <v>28200</v>
      </c>
      <c r="D6" s="246">
        <v>25000</v>
      </c>
      <c r="E6" s="143">
        <f>(D6-C6)/C6</f>
        <v>-0.11347517730496454</v>
      </c>
      <c r="F6" s="137">
        <f t="shared" ref="F6" si="2">SUM(G6:R6)</f>
        <v>0</v>
      </c>
      <c r="G6" s="130"/>
      <c r="H6" s="64"/>
      <c r="I6" s="64"/>
      <c r="J6" s="64"/>
      <c r="K6" s="64"/>
      <c r="L6" s="64"/>
      <c r="M6" s="64"/>
      <c r="N6" s="64"/>
      <c r="O6" s="64"/>
      <c r="P6" s="64"/>
      <c r="Q6" s="64"/>
      <c r="R6" s="65"/>
    </row>
    <row r="7" spans="1:22" s="15" customFormat="1" ht="14" x14ac:dyDescent="0.3">
      <c r="A7" s="16" t="s">
        <v>15</v>
      </c>
      <c r="B7" s="238" t="s">
        <v>120</v>
      </c>
      <c r="C7" s="250">
        <v>37600</v>
      </c>
      <c r="D7" s="247">
        <v>35000</v>
      </c>
      <c r="E7" s="143">
        <f>(D7-C7)/C7</f>
        <v>-6.9148936170212769E-2</v>
      </c>
      <c r="F7" s="138">
        <f t="shared" ref="F7:F11" si="3">SUM(G7:R7)</f>
        <v>0</v>
      </c>
      <c r="G7" s="78"/>
      <c r="H7" s="79"/>
      <c r="I7" s="79"/>
      <c r="J7" s="79"/>
      <c r="K7" s="79"/>
      <c r="L7" s="79"/>
      <c r="M7" s="79"/>
      <c r="N7" s="79"/>
      <c r="O7" s="79"/>
      <c r="P7" s="79"/>
      <c r="Q7" s="79"/>
      <c r="R7" s="17"/>
    </row>
    <row r="8" spans="1:22" s="15" customFormat="1" ht="14" x14ac:dyDescent="0.3">
      <c r="A8" s="16" t="s">
        <v>400</v>
      </c>
      <c r="B8" s="238" t="s">
        <v>267</v>
      </c>
      <c r="C8" s="250"/>
      <c r="D8" s="241">
        <v>20000</v>
      </c>
      <c r="E8" s="143"/>
      <c r="F8" s="138">
        <f t="shared" si="3"/>
        <v>0</v>
      </c>
      <c r="G8" s="239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17"/>
    </row>
    <row r="9" spans="1:22" s="15" customFormat="1" ht="14" x14ac:dyDescent="0.3">
      <c r="A9" s="16" t="s">
        <v>401</v>
      </c>
      <c r="B9" s="238" t="s">
        <v>104</v>
      </c>
      <c r="C9" s="250">
        <v>76040</v>
      </c>
      <c r="D9" s="248"/>
      <c r="E9" s="142"/>
      <c r="F9" s="139">
        <f t="shared" si="3"/>
        <v>0</v>
      </c>
      <c r="G9" s="78"/>
      <c r="H9" s="60"/>
      <c r="I9" s="60"/>
      <c r="J9" s="60"/>
      <c r="K9" s="60"/>
      <c r="L9" s="60"/>
      <c r="M9" s="60"/>
      <c r="N9" s="60"/>
      <c r="O9" s="60"/>
      <c r="P9" s="60"/>
      <c r="Q9" s="60"/>
      <c r="R9" s="17"/>
    </row>
    <row r="10" spans="1:22" s="15" customFormat="1" ht="14" x14ac:dyDescent="0.3">
      <c r="A10" s="16" t="s">
        <v>402</v>
      </c>
      <c r="B10" s="242" t="s">
        <v>101</v>
      </c>
      <c r="C10" s="250">
        <v>361313</v>
      </c>
      <c r="D10" s="248">
        <v>379337</v>
      </c>
      <c r="E10" s="143">
        <f>(D10-C10)/C10</f>
        <v>4.9884725985502872E-2</v>
      </c>
      <c r="F10" s="139">
        <f t="shared" si="3"/>
        <v>0</v>
      </c>
      <c r="G10" s="78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17"/>
    </row>
    <row r="11" spans="1:22" s="15" customFormat="1" ht="14" x14ac:dyDescent="0.3">
      <c r="A11" s="16" t="s">
        <v>403</v>
      </c>
      <c r="B11" s="15" t="s">
        <v>125</v>
      </c>
      <c r="C11" s="250"/>
      <c r="D11" s="248">
        <v>127000</v>
      </c>
      <c r="E11" s="143"/>
      <c r="F11" s="139">
        <f t="shared" si="3"/>
        <v>0</v>
      </c>
      <c r="G11" s="78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17"/>
    </row>
    <row r="12" spans="1:22" s="22" customFormat="1" ht="14" x14ac:dyDescent="0.3">
      <c r="A12" s="16" t="s">
        <v>404</v>
      </c>
      <c r="B12" s="243" t="s">
        <v>121</v>
      </c>
      <c r="C12" s="94">
        <v>32661.5</v>
      </c>
      <c r="D12" s="248">
        <v>48600</v>
      </c>
      <c r="E12" s="143">
        <f>(D12-C12)/C12</f>
        <v>0.48799044746873232</v>
      </c>
      <c r="F12" s="139">
        <f>SUM(G12:R12)</f>
        <v>15306</v>
      </c>
      <c r="G12" s="78"/>
      <c r="H12" s="60">
        <v>15306</v>
      </c>
      <c r="I12" s="60"/>
      <c r="J12" s="60"/>
      <c r="K12" s="60"/>
      <c r="L12" s="60"/>
      <c r="M12" s="60"/>
      <c r="N12" s="60"/>
      <c r="O12" s="60"/>
      <c r="P12" s="60"/>
      <c r="Q12" s="60"/>
      <c r="R12" s="17"/>
    </row>
    <row r="13" spans="1:22" s="22" customFormat="1" ht="14" x14ac:dyDescent="0.3">
      <c r="A13" s="16" t="s">
        <v>405</v>
      </c>
      <c r="B13" s="244" t="s">
        <v>124</v>
      </c>
      <c r="C13" s="94"/>
      <c r="D13" s="248">
        <v>54000</v>
      </c>
      <c r="E13" s="125"/>
      <c r="F13" s="139">
        <f>SUM(G13:R13)</f>
        <v>0</v>
      </c>
      <c r="G13" s="78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17"/>
    </row>
    <row r="14" spans="1:22" s="15" customFormat="1" ht="14.5" thickBot="1" x14ac:dyDescent="0.35">
      <c r="A14" s="16" t="s">
        <v>406</v>
      </c>
      <c r="B14" s="245" t="s">
        <v>421</v>
      </c>
      <c r="C14" s="251">
        <v>48400</v>
      </c>
      <c r="D14" s="333"/>
      <c r="E14" s="143">
        <f>(D14-C14)/C14</f>
        <v>-1</v>
      </c>
      <c r="F14" s="139">
        <f>SUM(G14:R14)</f>
        <v>0</v>
      </c>
      <c r="G14" s="78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17"/>
    </row>
    <row r="15" spans="1:22" s="22" customFormat="1" ht="16.5" customHeight="1" thickBot="1" x14ac:dyDescent="0.35">
      <c r="A15" s="234" t="s">
        <v>16</v>
      </c>
      <c r="B15" s="235" t="s">
        <v>19</v>
      </c>
      <c r="C15" s="236">
        <f>SUM(C16:C19)</f>
        <v>25833.53</v>
      </c>
      <c r="D15" s="237">
        <f>SUM(D16:D19)</f>
        <v>1800</v>
      </c>
      <c r="E15" s="225"/>
      <c r="F15" s="226">
        <f t="shared" ref="F15:R15" si="4">SUM(F16:F19)</f>
        <v>0</v>
      </c>
      <c r="G15" s="227">
        <f t="shared" si="4"/>
        <v>0</v>
      </c>
      <c r="H15" s="228">
        <f t="shared" si="4"/>
        <v>0</v>
      </c>
      <c r="I15" s="228">
        <f t="shared" si="4"/>
        <v>0</v>
      </c>
      <c r="J15" s="228">
        <f t="shared" si="4"/>
        <v>0</v>
      </c>
      <c r="K15" s="228">
        <f t="shared" si="4"/>
        <v>0</v>
      </c>
      <c r="L15" s="228">
        <f t="shared" si="4"/>
        <v>0</v>
      </c>
      <c r="M15" s="228">
        <f t="shared" si="4"/>
        <v>0</v>
      </c>
      <c r="N15" s="228">
        <f t="shared" si="4"/>
        <v>0</v>
      </c>
      <c r="O15" s="228">
        <f t="shared" si="4"/>
        <v>0</v>
      </c>
      <c r="P15" s="228">
        <f t="shared" si="4"/>
        <v>0</v>
      </c>
      <c r="Q15" s="228">
        <f t="shared" si="4"/>
        <v>0</v>
      </c>
      <c r="R15" s="229">
        <f t="shared" si="4"/>
        <v>0</v>
      </c>
    </row>
    <row r="16" spans="1:22" s="15" customFormat="1" ht="14" x14ac:dyDescent="0.3">
      <c r="A16" s="23" t="s">
        <v>17</v>
      </c>
      <c r="B16" s="25" t="s">
        <v>407</v>
      </c>
      <c r="C16" s="12">
        <f>4012+5914</f>
        <v>9926</v>
      </c>
      <c r="D16" s="111"/>
      <c r="E16" s="124"/>
      <c r="F16" s="139">
        <f t="shared" ref="F16" si="5">SUM(G16:R16)</f>
        <v>0</v>
      </c>
      <c r="G16" s="78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17"/>
    </row>
    <row r="17" spans="1:18" s="15" customFormat="1" ht="14" x14ac:dyDescent="0.3">
      <c r="A17" s="24" t="s">
        <v>60</v>
      </c>
      <c r="B17" s="25" t="s">
        <v>117</v>
      </c>
      <c r="C17" s="12">
        <v>14407.529999999999</v>
      </c>
      <c r="D17" s="111"/>
      <c r="E17" s="124"/>
      <c r="F17" s="139">
        <f>SUM(G17:R17)</f>
        <v>0</v>
      </c>
      <c r="G17" s="78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17"/>
    </row>
    <row r="18" spans="1:18" s="15" customFormat="1" ht="14" x14ac:dyDescent="0.3">
      <c r="A18" s="24" t="s">
        <v>77</v>
      </c>
      <c r="B18" s="27" t="s">
        <v>113</v>
      </c>
      <c r="C18" s="90">
        <v>750</v>
      </c>
      <c r="D18" s="106"/>
      <c r="E18" s="126"/>
      <c r="F18" s="140">
        <f t="shared" ref="F18" si="6">SUM(G18:R18)</f>
        <v>0</v>
      </c>
      <c r="G18" s="131"/>
      <c r="H18" s="19"/>
      <c r="I18" s="19"/>
      <c r="J18" s="19"/>
      <c r="K18" s="19"/>
      <c r="L18" s="19"/>
      <c r="M18" s="19"/>
      <c r="N18" s="66"/>
      <c r="O18" s="19"/>
      <c r="P18" s="19"/>
      <c r="Q18" s="19"/>
      <c r="R18" s="20"/>
    </row>
    <row r="19" spans="1:18" s="15" customFormat="1" ht="14.5" thickBot="1" x14ac:dyDescent="0.35">
      <c r="A19" s="26" t="s">
        <v>78</v>
      </c>
      <c r="B19" s="27" t="s">
        <v>100</v>
      </c>
      <c r="C19" s="18">
        <v>750</v>
      </c>
      <c r="D19" s="12">
        <v>1800</v>
      </c>
      <c r="E19" s="143">
        <f>(D19-C19)/C19</f>
        <v>1.4</v>
      </c>
      <c r="F19" s="141">
        <f>SUM(G19:R19)</f>
        <v>0</v>
      </c>
      <c r="G19" s="131"/>
      <c r="H19" s="19"/>
      <c r="I19" s="19"/>
      <c r="J19" s="19"/>
      <c r="K19" s="19"/>
      <c r="L19" s="19"/>
      <c r="M19" s="19"/>
      <c r="N19" s="66"/>
      <c r="O19" s="19"/>
      <c r="P19" s="19"/>
      <c r="Q19" s="19"/>
      <c r="R19" s="20"/>
    </row>
    <row r="20" spans="1:18" s="332" customFormat="1" ht="16.5" customHeight="1" thickBot="1" x14ac:dyDescent="0.35">
      <c r="A20" s="234" t="s">
        <v>18</v>
      </c>
      <c r="B20" s="326" t="s">
        <v>25</v>
      </c>
      <c r="C20" s="327">
        <f>SUM(C21:C35)</f>
        <v>346462.99</v>
      </c>
      <c r="D20" s="328">
        <f>SUM(D21:D35)</f>
        <v>421600</v>
      </c>
      <c r="E20" s="329"/>
      <c r="F20" s="330">
        <f t="shared" ref="F20:R20" si="7">SUM(F21:F35)</f>
        <v>26158.62</v>
      </c>
      <c r="G20" s="331">
        <f t="shared" si="7"/>
        <v>12638</v>
      </c>
      <c r="H20" s="331">
        <f t="shared" si="7"/>
        <v>13520.619999999999</v>
      </c>
      <c r="I20" s="331">
        <f t="shared" si="7"/>
        <v>0</v>
      </c>
      <c r="J20" s="331">
        <f t="shared" si="7"/>
        <v>0</v>
      </c>
      <c r="K20" s="331">
        <f t="shared" si="7"/>
        <v>0</v>
      </c>
      <c r="L20" s="331">
        <f t="shared" si="7"/>
        <v>0</v>
      </c>
      <c r="M20" s="331">
        <f t="shared" si="7"/>
        <v>0</v>
      </c>
      <c r="N20" s="331">
        <f t="shared" si="7"/>
        <v>0</v>
      </c>
      <c r="O20" s="331">
        <f t="shared" si="7"/>
        <v>0</v>
      </c>
      <c r="P20" s="331">
        <f t="shared" si="7"/>
        <v>0</v>
      </c>
      <c r="Q20" s="331">
        <f t="shared" si="7"/>
        <v>0</v>
      </c>
      <c r="R20" s="331">
        <f t="shared" si="7"/>
        <v>0</v>
      </c>
    </row>
    <row r="21" spans="1:18" s="15" customFormat="1" ht="14" x14ac:dyDescent="0.3">
      <c r="A21" s="23" t="s">
        <v>20</v>
      </c>
      <c r="B21" s="99" t="s">
        <v>417</v>
      </c>
      <c r="C21" s="100">
        <v>39175</v>
      </c>
      <c r="D21" s="112">
        <v>40000</v>
      </c>
      <c r="E21" s="143">
        <f>(D21-C21)/C21</f>
        <v>2.1059349074664963E-2</v>
      </c>
      <c r="F21" s="139">
        <f t="shared" ref="F21:F35" si="8">SUM(G21:R21)</f>
        <v>2000</v>
      </c>
      <c r="G21" s="129">
        <v>2000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/>
    </row>
    <row r="22" spans="1:18" s="15" customFormat="1" ht="14" x14ac:dyDescent="0.3">
      <c r="A22" s="24" t="s">
        <v>21</v>
      </c>
      <c r="B22" s="29" t="s">
        <v>26</v>
      </c>
      <c r="C22" s="12">
        <v>5170</v>
      </c>
      <c r="D22" s="110">
        <v>5200</v>
      </c>
      <c r="E22" s="143">
        <f t="shared" ref="E22:E35" si="9">(D22-C22)/C22</f>
        <v>5.8027079303675051E-3</v>
      </c>
      <c r="F22" s="139">
        <f t="shared" si="8"/>
        <v>1400</v>
      </c>
      <c r="G22" s="78"/>
      <c r="H22" s="60">
        <v>1400</v>
      </c>
      <c r="I22" s="60"/>
      <c r="J22" s="60"/>
      <c r="K22" s="60"/>
      <c r="L22" s="60"/>
      <c r="M22" s="60"/>
      <c r="N22" s="60"/>
      <c r="O22" s="60"/>
      <c r="P22" s="60"/>
      <c r="Q22" s="60"/>
      <c r="R22" s="17"/>
    </row>
    <row r="23" spans="1:18" s="15" customFormat="1" ht="14" x14ac:dyDescent="0.3">
      <c r="A23" s="24" t="s">
        <v>22</v>
      </c>
      <c r="B23" s="30" t="s">
        <v>27</v>
      </c>
      <c r="C23" s="12">
        <v>37573</v>
      </c>
      <c r="D23" s="113">
        <v>40000</v>
      </c>
      <c r="E23" s="143">
        <f t="shared" si="9"/>
        <v>6.4594256513986106E-2</v>
      </c>
      <c r="F23" s="139">
        <f t="shared" si="8"/>
        <v>5915</v>
      </c>
      <c r="G23" s="78">
        <v>1570</v>
      </c>
      <c r="H23" s="60">
        <v>4345</v>
      </c>
      <c r="I23" s="60"/>
      <c r="J23" s="60"/>
      <c r="K23" s="60"/>
      <c r="L23" s="60"/>
      <c r="M23" s="60"/>
      <c r="N23" s="60"/>
      <c r="O23" s="60"/>
      <c r="P23" s="60"/>
      <c r="Q23" s="60"/>
      <c r="R23" s="17"/>
    </row>
    <row r="24" spans="1:18" s="15" customFormat="1" ht="14" x14ac:dyDescent="0.3">
      <c r="A24" s="24" t="s">
        <v>23</v>
      </c>
      <c r="B24" s="29" t="s">
        <v>64</v>
      </c>
      <c r="C24" s="12">
        <v>7018</v>
      </c>
      <c r="D24" s="110">
        <v>7000</v>
      </c>
      <c r="E24" s="143">
        <f t="shared" si="9"/>
        <v>-2.5648332858364208E-3</v>
      </c>
      <c r="F24" s="139">
        <f t="shared" si="8"/>
        <v>0</v>
      </c>
      <c r="G24" s="78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17"/>
    </row>
    <row r="25" spans="1:18" s="15" customFormat="1" ht="14" x14ac:dyDescent="0.3">
      <c r="A25" s="26" t="s">
        <v>24</v>
      </c>
      <c r="B25" s="29" t="s">
        <v>419</v>
      </c>
      <c r="C25" s="12">
        <v>1644.8</v>
      </c>
      <c r="D25" s="114">
        <v>2000</v>
      </c>
      <c r="E25" s="143">
        <f t="shared" si="9"/>
        <v>0.21595330739299615</v>
      </c>
      <c r="F25" s="139">
        <f t="shared" si="8"/>
        <v>0</v>
      </c>
      <c r="G25" s="78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17"/>
    </row>
    <row r="26" spans="1:18" s="15" customFormat="1" ht="14" x14ac:dyDescent="0.3">
      <c r="A26" s="26" t="s">
        <v>99</v>
      </c>
      <c r="B26" s="29" t="s">
        <v>114</v>
      </c>
      <c r="C26" s="12">
        <v>128049</v>
      </c>
      <c r="D26" s="110">
        <v>140000</v>
      </c>
      <c r="E26" s="143">
        <f t="shared" ref="E26" si="10">(D26-C26)/C26</f>
        <v>9.3331459050832108E-2</v>
      </c>
      <c r="F26" s="139">
        <f>SUM(G26:R26)</f>
        <v>10050</v>
      </c>
      <c r="G26" s="78">
        <v>8750</v>
      </c>
      <c r="H26" s="60">
        <v>1300</v>
      </c>
      <c r="I26" s="60"/>
      <c r="J26" s="60"/>
      <c r="K26" s="60"/>
      <c r="L26" s="60"/>
      <c r="M26" s="60"/>
      <c r="N26" s="60"/>
      <c r="O26" s="60"/>
      <c r="P26" s="60"/>
      <c r="Q26" s="60"/>
      <c r="R26" s="17"/>
    </row>
    <row r="27" spans="1:18" s="15" customFormat="1" ht="14" x14ac:dyDescent="0.3">
      <c r="A27" s="26" t="s">
        <v>408</v>
      </c>
      <c r="B27" s="29" t="s">
        <v>118</v>
      </c>
      <c r="C27" s="12">
        <v>3430</v>
      </c>
      <c r="D27" s="110">
        <v>3500</v>
      </c>
      <c r="E27" s="143">
        <f t="shared" si="9"/>
        <v>2.0408163265306121E-2</v>
      </c>
      <c r="F27" s="139">
        <f t="shared" si="8"/>
        <v>0</v>
      </c>
      <c r="G27" s="78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17"/>
    </row>
    <row r="28" spans="1:18" s="22" customFormat="1" ht="14" x14ac:dyDescent="0.3">
      <c r="A28" s="26" t="s">
        <v>409</v>
      </c>
      <c r="B28" s="29" t="s">
        <v>65</v>
      </c>
      <c r="C28" s="12">
        <v>7023</v>
      </c>
      <c r="D28" s="110">
        <v>18900</v>
      </c>
      <c r="E28" s="143">
        <f t="shared" si="9"/>
        <v>1.691157624946604</v>
      </c>
      <c r="F28" s="139">
        <f t="shared" si="8"/>
        <v>4375.62</v>
      </c>
      <c r="G28" s="78"/>
      <c r="H28" s="32">
        <v>4375.62</v>
      </c>
      <c r="I28" s="60"/>
      <c r="J28" s="60"/>
      <c r="K28" s="60"/>
      <c r="L28" s="60"/>
      <c r="M28" s="60"/>
      <c r="N28" s="60"/>
      <c r="O28" s="60"/>
      <c r="P28" s="60"/>
      <c r="Q28" s="60"/>
      <c r="R28" s="17"/>
    </row>
    <row r="29" spans="1:18" s="15" customFormat="1" ht="14" x14ac:dyDescent="0.3">
      <c r="A29" s="26" t="s">
        <v>410</v>
      </c>
      <c r="B29" s="29" t="s">
        <v>122</v>
      </c>
      <c r="C29" s="12">
        <v>8032.6900000000005</v>
      </c>
      <c r="D29" s="110">
        <v>8000</v>
      </c>
      <c r="E29" s="143">
        <f t="shared" si="9"/>
        <v>-4.0696205131780898E-3</v>
      </c>
      <c r="F29" s="139">
        <f t="shared" si="8"/>
        <v>2280</v>
      </c>
      <c r="G29" s="78">
        <v>180</v>
      </c>
      <c r="H29" s="60">
        <f>300+1800</f>
        <v>2100</v>
      </c>
      <c r="I29" s="60"/>
      <c r="J29" s="60"/>
      <c r="K29" s="60"/>
      <c r="L29" s="60"/>
      <c r="M29" s="60"/>
      <c r="N29" s="60"/>
      <c r="O29" s="60"/>
      <c r="P29" s="60"/>
      <c r="Q29" s="60"/>
      <c r="R29" s="17"/>
    </row>
    <row r="30" spans="1:18" s="67" customFormat="1" ht="14" x14ac:dyDescent="0.3">
      <c r="A30" s="26" t="s">
        <v>411</v>
      </c>
      <c r="B30" s="105" t="s">
        <v>420</v>
      </c>
      <c r="C30" s="106">
        <v>91397.5</v>
      </c>
      <c r="D30" s="115">
        <v>50000</v>
      </c>
      <c r="E30" s="143">
        <f t="shared" si="9"/>
        <v>-0.45293908476708883</v>
      </c>
      <c r="F30" s="139">
        <f>SUM(G30:R30)</f>
        <v>0</v>
      </c>
      <c r="G30" s="1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</row>
    <row r="31" spans="1:18" s="67" customFormat="1" ht="14" x14ac:dyDescent="0.3">
      <c r="A31" s="26" t="s">
        <v>412</v>
      </c>
      <c r="B31" s="258" t="s">
        <v>271</v>
      </c>
      <c r="C31" s="259"/>
      <c r="D31" s="260">
        <v>62000</v>
      </c>
      <c r="E31" s="143"/>
      <c r="F31" s="139">
        <f>SUM(G31:R31)</f>
        <v>0</v>
      </c>
      <c r="G31" s="252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4"/>
    </row>
    <row r="32" spans="1:18" s="67" customFormat="1" ht="14" x14ac:dyDescent="0.3">
      <c r="A32" s="26" t="s">
        <v>413</v>
      </c>
      <c r="B32" s="255" t="s">
        <v>268</v>
      </c>
      <c r="C32" s="61"/>
      <c r="D32" s="256">
        <v>15000</v>
      </c>
      <c r="E32" s="143"/>
      <c r="F32" s="139">
        <f t="shared" ref="F32:F34" si="11">SUM(G32:R32)</f>
        <v>0</v>
      </c>
      <c r="G32" s="252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4"/>
    </row>
    <row r="33" spans="1:18" s="67" customFormat="1" ht="14" x14ac:dyDescent="0.3">
      <c r="A33" s="26" t="s">
        <v>414</v>
      </c>
      <c r="B33" s="255" t="s">
        <v>269</v>
      </c>
      <c r="C33" s="61"/>
      <c r="D33" s="256">
        <v>15000</v>
      </c>
      <c r="E33" s="143"/>
      <c r="F33" s="139">
        <f t="shared" si="11"/>
        <v>0</v>
      </c>
      <c r="G33" s="252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4"/>
    </row>
    <row r="34" spans="1:18" s="67" customFormat="1" ht="14" x14ac:dyDescent="0.3">
      <c r="A34" s="26" t="s">
        <v>415</v>
      </c>
      <c r="B34" s="255" t="s">
        <v>270</v>
      </c>
      <c r="C34" s="61"/>
      <c r="D34" s="256">
        <v>15000</v>
      </c>
      <c r="E34" s="143"/>
      <c r="F34" s="139">
        <f t="shared" si="11"/>
        <v>0</v>
      </c>
      <c r="G34" s="252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4"/>
    </row>
    <row r="35" spans="1:18" s="67" customFormat="1" ht="14.5" thickBot="1" x14ac:dyDescent="0.35">
      <c r="A35" s="26" t="s">
        <v>416</v>
      </c>
      <c r="B35" s="104" t="s">
        <v>110</v>
      </c>
      <c r="C35" s="101">
        <v>17950</v>
      </c>
      <c r="D35" s="257">
        <v>0</v>
      </c>
      <c r="E35" s="143">
        <f t="shared" si="9"/>
        <v>-1</v>
      </c>
      <c r="F35" s="139">
        <f t="shared" si="8"/>
        <v>138</v>
      </c>
      <c r="G35" s="132">
        <v>138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</row>
    <row r="36" spans="1:18" s="36" customFormat="1" ht="25" customHeight="1" thickBot="1" x14ac:dyDescent="0.4">
      <c r="A36" s="34">
        <v>2</v>
      </c>
      <c r="B36" s="35" t="s">
        <v>52</v>
      </c>
      <c r="C36" s="11">
        <f>C37+C43+C49</f>
        <v>853848.28</v>
      </c>
      <c r="D36" s="11">
        <f>D37+D43+D49</f>
        <v>952744.24</v>
      </c>
      <c r="E36" s="127"/>
      <c r="F36" s="121">
        <f t="shared" ref="F36:R36" si="12">F37+F43+F49</f>
        <v>80143.7</v>
      </c>
      <c r="G36" s="11">
        <f t="shared" si="12"/>
        <v>53143.479999999996</v>
      </c>
      <c r="H36" s="11">
        <f t="shared" si="12"/>
        <v>27000.22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si="12"/>
        <v>0</v>
      </c>
      <c r="N36" s="11">
        <f t="shared" si="12"/>
        <v>0</v>
      </c>
      <c r="O36" s="11">
        <f t="shared" si="12"/>
        <v>0</v>
      </c>
      <c r="P36" s="11">
        <f t="shared" si="12"/>
        <v>0</v>
      </c>
      <c r="Q36" s="11">
        <f t="shared" si="12"/>
        <v>0</v>
      </c>
      <c r="R36" s="11">
        <f t="shared" si="12"/>
        <v>0</v>
      </c>
    </row>
    <row r="37" spans="1:18" s="39" customFormat="1" ht="16.5" customHeight="1" thickBot="1" x14ac:dyDescent="0.4">
      <c r="A37" s="316" t="s">
        <v>29</v>
      </c>
      <c r="B37" s="317" t="s">
        <v>69</v>
      </c>
      <c r="C37" s="318">
        <f t="shared" ref="C37:R37" si="13">SUM(C38:C42)</f>
        <v>315659.93</v>
      </c>
      <c r="D37" s="318">
        <f>SUM(D38:D42)</f>
        <v>381765</v>
      </c>
      <c r="E37" s="319"/>
      <c r="F37" s="320">
        <f>SUM(F38:F42)</f>
        <v>4281.92</v>
      </c>
      <c r="G37" s="133">
        <f t="shared" si="13"/>
        <v>3304.52</v>
      </c>
      <c r="H37" s="37">
        <f t="shared" si="13"/>
        <v>977.4</v>
      </c>
      <c r="I37" s="37">
        <f t="shared" si="13"/>
        <v>0</v>
      </c>
      <c r="J37" s="37">
        <f t="shared" si="13"/>
        <v>0</v>
      </c>
      <c r="K37" s="37">
        <f>SUM(K38:K42)</f>
        <v>0</v>
      </c>
      <c r="L37" s="37">
        <f>SUM(L38:L42)</f>
        <v>0</v>
      </c>
      <c r="M37" s="37">
        <f t="shared" si="13"/>
        <v>0</v>
      </c>
      <c r="N37" s="37">
        <f t="shared" si="13"/>
        <v>0</v>
      </c>
      <c r="O37" s="37">
        <f t="shared" si="13"/>
        <v>0</v>
      </c>
      <c r="P37" s="37">
        <f t="shared" si="13"/>
        <v>0</v>
      </c>
      <c r="Q37" s="37">
        <f t="shared" si="13"/>
        <v>0</v>
      </c>
      <c r="R37" s="38">
        <f t="shared" si="13"/>
        <v>0</v>
      </c>
    </row>
    <row r="38" spans="1:18" s="15" customFormat="1" ht="14" x14ac:dyDescent="0.3">
      <c r="A38" s="23" t="s">
        <v>30</v>
      </c>
      <c r="B38" s="230" t="s">
        <v>31</v>
      </c>
      <c r="C38" s="12">
        <v>107920.89</v>
      </c>
      <c r="D38" s="12">
        <f>78965+4000</f>
        <v>82965</v>
      </c>
      <c r="E38" s="143">
        <f t="shared" ref="E38" si="14">(D38-C38)/C38</f>
        <v>-0.2312424406433268</v>
      </c>
      <c r="F38" s="94">
        <f>SUM(G38:R38)</f>
        <v>485.42</v>
      </c>
      <c r="G38" s="129">
        <v>254.52</v>
      </c>
      <c r="H38" s="68">
        <f>90+140.9</f>
        <v>230.9</v>
      </c>
      <c r="I38" s="68"/>
      <c r="J38" s="68"/>
      <c r="K38" s="68"/>
      <c r="L38" s="68"/>
      <c r="M38" s="68"/>
      <c r="N38" s="68"/>
      <c r="O38" s="68"/>
      <c r="P38" s="68"/>
      <c r="Q38" s="68"/>
      <c r="R38" s="14"/>
    </row>
    <row r="39" spans="1:18" s="15" customFormat="1" ht="14" x14ac:dyDescent="0.3">
      <c r="A39" s="23" t="s">
        <v>32</v>
      </c>
      <c r="B39" s="230" t="s">
        <v>266</v>
      </c>
      <c r="C39" s="12">
        <v>0</v>
      </c>
      <c r="D39" s="12">
        <v>19750</v>
      </c>
      <c r="E39" s="124"/>
      <c r="F39" s="94">
        <f>SUM(G39:R39)</f>
        <v>0</v>
      </c>
      <c r="G39" s="129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14"/>
    </row>
    <row r="40" spans="1:18" s="39" customFormat="1" ht="14.5" x14ac:dyDescent="0.35">
      <c r="A40" s="23" t="s">
        <v>61</v>
      </c>
      <c r="B40" s="28" t="s">
        <v>35</v>
      </c>
      <c r="C40" s="12">
        <v>62108.800000000003</v>
      </c>
      <c r="D40" s="12">
        <f>35250+4800</f>
        <v>40050</v>
      </c>
      <c r="E40" s="143">
        <f t="shared" ref="E40:E42" si="15">(D40-C40)/C40</f>
        <v>-0.35516384151682212</v>
      </c>
      <c r="F40" s="94">
        <f>SUM(G40:R40)</f>
        <v>3796.5</v>
      </c>
      <c r="G40" s="129">
        <f>2650+400</f>
        <v>3050</v>
      </c>
      <c r="H40" s="68">
        <f>346.5+400</f>
        <v>746.5</v>
      </c>
      <c r="I40" s="68"/>
      <c r="J40" s="68"/>
      <c r="K40" s="68"/>
      <c r="L40" s="68"/>
      <c r="M40" s="68"/>
      <c r="N40" s="68"/>
      <c r="O40" s="68"/>
      <c r="P40" s="68"/>
      <c r="Q40" s="68"/>
      <c r="R40" s="14"/>
    </row>
    <row r="41" spans="1:18" s="15" customFormat="1" ht="14" x14ac:dyDescent="0.3">
      <c r="A41" s="23" t="s">
        <v>62</v>
      </c>
      <c r="B41" s="230" t="s">
        <v>418</v>
      </c>
      <c r="C41" s="12">
        <v>67560</v>
      </c>
      <c r="D41" s="12">
        <v>50000</v>
      </c>
      <c r="E41" s="143">
        <f t="shared" si="15"/>
        <v>-0.25991711071640022</v>
      </c>
      <c r="F41" s="94">
        <f>SUM(G41:R41)</f>
        <v>0</v>
      </c>
      <c r="G41" s="129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17"/>
    </row>
    <row r="42" spans="1:18" s="15" customFormat="1" ht="14.5" thickBot="1" x14ac:dyDescent="0.35">
      <c r="A42" s="23" t="s">
        <v>97</v>
      </c>
      <c r="B42" s="230" t="s">
        <v>201</v>
      </c>
      <c r="C42" s="12">
        <v>78070.240000000005</v>
      </c>
      <c r="D42" s="12">
        <f>127000+62000</f>
        <v>189000</v>
      </c>
      <c r="E42" s="143">
        <f t="shared" si="15"/>
        <v>1.4208968744043824</v>
      </c>
      <c r="F42" s="94">
        <f>SUM(G42:R42)</f>
        <v>0</v>
      </c>
      <c r="G42" s="129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17"/>
    </row>
    <row r="43" spans="1:18" s="39" customFormat="1" ht="16.5" customHeight="1" thickBot="1" x14ac:dyDescent="0.4">
      <c r="A43" s="316" t="s">
        <v>33</v>
      </c>
      <c r="B43" s="317" t="s">
        <v>70</v>
      </c>
      <c r="C43" s="318">
        <f>SUM(C44:C48)</f>
        <v>437665.51000000007</v>
      </c>
      <c r="D43" s="318">
        <f>SUM(D44:D48)</f>
        <v>450904.24</v>
      </c>
      <c r="E43" s="319"/>
      <c r="F43" s="320">
        <f t="shared" ref="F43:R43" si="16">SUM(F44:F48)</f>
        <v>61092.51</v>
      </c>
      <c r="G43" s="133">
        <f t="shared" si="16"/>
        <v>41512.51</v>
      </c>
      <c r="H43" s="70">
        <f t="shared" si="16"/>
        <v>19580</v>
      </c>
      <c r="I43" s="70">
        <f t="shared" si="16"/>
        <v>0</v>
      </c>
      <c r="J43" s="70">
        <f t="shared" si="16"/>
        <v>0</v>
      </c>
      <c r="K43" s="70">
        <f t="shared" si="16"/>
        <v>0</v>
      </c>
      <c r="L43" s="70">
        <f t="shared" si="16"/>
        <v>0</v>
      </c>
      <c r="M43" s="70">
        <f t="shared" si="16"/>
        <v>0</v>
      </c>
      <c r="N43" s="70">
        <f t="shared" si="16"/>
        <v>0</v>
      </c>
      <c r="O43" s="70">
        <f t="shared" si="16"/>
        <v>0</v>
      </c>
      <c r="P43" s="70">
        <f t="shared" si="16"/>
        <v>0</v>
      </c>
      <c r="Q43" s="70">
        <f t="shared" si="16"/>
        <v>0</v>
      </c>
      <c r="R43" s="38">
        <f t="shared" si="16"/>
        <v>0</v>
      </c>
    </row>
    <row r="44" spans="1:18" s="15" customFormat="1" ht="14" x14ac:dyDescent="0.3">
      <c r="A44" s="24" t="s">
        <v>34</v>
      </c>
      <c r="B44" s="25" t="s">
        <v>59</v>
      </c>
      <c r="C44" s="12">
        <v>154091.77000000002</v>
      </c>
      <c r="D44" s="111">
        <v>93980</v>
      </c>
      <c r="E44" s="143">
        <f t="shared" ref="E44:E48" si="17">(D44-C44)/C44</f>
        <v>-0.39010370248845871</v>
      </c>
      <c r="F44" s="94">
        <f t="shared" ref="F44:F48" si="18">SUM(G44:R44)</f>
        <v>23495.010000000002</v>
      </c>
      <c r="G44" s="78">
        <f>3113+2410.01</f>
        <v>5523.01</v>
      </c>
      <c r="H44" s="69">
        <f>11512+6460</f>
        <v>17972</v>
      </c>
      <c r="I44" s="69"/>
      <c r="J44" s="69"/>
      <c r="K44" s="69"/>
      <c r="L44" s="69"/>
      <c r="M44" s="68"/>
      <c r="N44" s="69"/>
      <c r="O44" s="69"/>
      <c r="P44" s="69"/>
      <c r="Q44" s="69"/>
      <c r="R44" s="17"/>
    </row>
    <row r="45" spans="1:18" s="39" customFormat="1" ht="14.5" x14ac:dyDescent="0.35">
      <c r="A45" s="24" t="s">
        <v>36</v>
      </c>
      <c r="B45" s="29" t="s">
        <v>71</v>
      </c>
      <c r="C45" s="12">
        <v>76015.73000000001</v>
      </c>
      <c r="D45" s="111">
        <f>243090+3834.24</f>
        <v>246924.24</v>
      </c>
      <c r="E45" s="143">
        <f t="shared" si="17"/>
        <v>2.2483308388934757</v>
      </c>
      <c r="F45" s="94">
        <f>SUM(G45:R45)</f>
        <v>7710</v>
      </c>
      <c r="G45" s="78">
        <v>6102</v>
      </c>
      <c r="H45" s="69">
        <v>1608</v>
      </c>
      <c r="I45" s="69"/>
      <c r="J45" s="69"/>
      <c r="K45" s="69"/>
      <c r="L45" s="69"/>
      <c r="M45" s="69"/>
      <c r="N45" s="69"/>
      <c r="O45" s="69"/>
      <c r="P45" s="68"/>
      <c r="Q45" s="69"/>
      <c r="R45" s="17"/>
    </row>
    <row r="46" spans="1:18" s="15" customFormat="1" ht="14" x14ac:dyDescent="0.3">
      <c r="A46" s="24" t="s">
        <v>67</v>
      </c>
      <c r="B46" s="230" t="s">
        <v>66</v>
      </c>
      <c r="C46" s="12">
        <v>59156.74</v>
      </c>
      <c r="D46" s="12">
        <v>40000</v>
      </c>
      <c r="E46" s="143">
        <f t="shared" si="17"/>
        <v>-0.32383021782471444</v>
      </c>
      <c r="F46" s="94">
        <f t="shared" si="18"/>
        <v>23750</v>
      </c>
      <c r="G46" s="78">
        <v>23750</v>
      </c>
      <c r="H46" s="13"/>
      <c r="I46" s="68"/>
      <c r="J46" s="68"/>
      <c r="K46" s="68"/>
      <c r="L46" s="68"/>
      <c r="M46" s="68"/>
      <c r="N46" s="68"/>
      <c r="O46" s="68"/>
      <c r="P46" s="68"/>
      <c r="Q46" s="68"/>
      <c r="R46" s="14"/>
    </row>
    <row r="47" spans="1:18" s="39" customFormat="1" ht="14.5" x14ac:dyDescent="0.35">
      <c r="A47" s="31" t="s">
        <v>37</v>
      </c>
      <c r="B47" s="321" t="s">
        <v>72</v>
      </c>
      <c r="C47" s="322">
        <v>106794.83</v>
      </c>
      <c r="D47" s="106">
        <v>30000</v>
      </c>
      <c r="E47" s="143">
        <f t="shared" si="17"/>
        <v>-0.71908752511708662</v>
      </c>
      <c r="F47" s="323">
        <f t="shared" si="18"/>
        <v>0</v>
      </c>
      <c r="G47" s="129"/>
      <c r="H47" s="19"/>
      <c r="I47" s="66"/>
      <c r="J47" s="66"/>
      <c r="K47" s="66"/>
      <c r="L47" s="66"/>
      <c r="M47" s="66"/>
      <c r="N47" s="66"/>
      <c r="O47" s="66"/>
      <c r="P47" s="66"/>
      <c r="Q47" s="66"/>
      <c r="R47" s="20"/>
    </row>
    <row r="48" spans="1:18" s="39" customFormat="1" ht="15" thickBot="1" x14ac:dyDescent="0.4">
      <c r="A48" s="31" t="s">
        <v>73</v>
      </c>
      <c r="B48" s="321" t="s">
        <v>110</v>
      </c>
      <c r="C48" s="322">
        <v>41606.44</v>
      </c>
      <c r="D48" s="106">
        <v>40000</v>
      </c>
      <c r="E48" s="143">
        <f t="shared" si="17"/>
        <v>-3.8610368971726546E-2</v>
      </c>
      <c r="F48" s="323">
        <f t="shared" si="18"/>
        <v>6137.5</v>
      </c>
      <c r="G48" s="129">
        <v>6137.5</v>
      </c>
      <c r="H48" s="19"/>
      <c r="I48" s="66"/>
      <c r="J48" s="66"/>
      <c r="K48" s="66"/>
      <c r="L48" s="66"/>
      <c r="M48" s="66"/>
      <c r="N48" s="32"/>
      <c r="O48" s="66"/>
      <c r="P48" s="66"/>
      <c r="Q48" s="66"/>
      <c r="R48" s="20"/>
    </row>
    <row r="49" spans="1:18" s="15" customFormat="1" ht="16.5" customHeight="1" thickBot="1" x14ac:dyDescent="0.35">
      <c r="A49" s="316" t="s">
        <v>38</v>
      </c>
      <c r="B49" s="317" t="s">
        <v>50</v>
      </c>
      <c r="C49" s="318">
        <f>C50+C65</f>
        <v>100522.84</v>
      </c>
      <c r="D49" s="318">
        <f>D50+D65</f>
        <v>120075</v>
      </c>
      <c r="E49" s="319"/>
      <c r="F49" s="318">
        <f>F50+F65</f>
        <v>14769.27</v>
      </c>
      <c r="G49" s="134">
        <f>G50+G65</f>
        <v>8326.4499999999989</v>
      </c>
      <c r="H49" s="134">
        <f t="shared" ref="H49:R49" si="19">H50+H65</f>
        <v>6442.82</v>
      </c>
      <c r="I49" s="134">
        <f t="shared" si="19"/>
        <v>0</v>
      </c>
      <c r="J49" s="134">
        <f t="shared" si="19"/>
        <v>0</v>
      </c>
      <c r="K49" s="134">
        <f t="shared" si="19"/>
        <v>0</v>
      </c>
      <c r="L49" s="134">
        <f t="shared" si="19"/>
        <v>0</v>
      </c>
      <c r="M49" s="134">
        <f t="shared" si="19"/>
        <v>0</v>
      </c>
      <c r="N49" s="134">
        <f t="shared" si="19"/>
        <v>0</v>
      </c>
      <c r="O49" s="134">
        <f t="shared" si="19"/>
        <v>0</v>
      </c>
      <c r="P49" s="134">
        <f t="shared" si="19"/>
        <v>0</v>
      </c>
      <c r="Q49" s="134">
        <f t="shared" si="19"/>
        <v>0</v>
      </c>
      <c r="R49" s="134">
        <f t="shared" si="19"/>
        <v>0</v>
      </c>
    </row>
    <row r="50" spans="1:18" s="15" customFormat="1" ht="16.5" customHeight="1" thickBot="1" x14ac:dyDescent="0.4">
      <c r="A50" s="316" t="s">
        <v>40</v>
      </c>
      <c r="B50" s="317" t="s">
        <v>39</v>
      </c>
      <c r="C50" s="318">
        <f t="shared" ref="C50:R50" si="20">SUM(C51:C64)</f>
        <v>35822.839999999997</v>
      </c>
      <c r="D50" s="318">
        <f t="shared" si="20"/>
        <v>47031</v>
      </c>
      <c r="E50" s="319"/>
      <c r="F50" s="320">
        <f t="shared" si="20"/>
        <v>5430.8700000000008</v>
      </c>
      <c r="G50" s="81">
        <f t="shared" si="20"/>
        <v>2739.47</v>
      </c>
      <c r="H50" s="80">
        <f t="shared" si="20"/>
        <v>2691.4</v>
      </c>
      <c r="I50" s="80">
        <f t="shared" si="20"/>
        <v>0</v>
      </c>
      <c r="J50" s="81">
        <f t="shared" si="20"/>
        <v>0</v>
      </c>
      <c r="K50" s="80">
        <f>SUM(K51:K64)</f>
        <v>0</v>
      </c>
      <c r="L50" s="81">
        <f>SUM(L51:L64)</f>
        <v>0</v>
      </c>
      <c r="M50" s="80">
        <f t="shared" si="20"/>
        <v>0</v>
      </c>
      <c r="N50" s="81">
        <f t="shared" si="20"/>
        <v>0</v>
      </c>
      <c r="O50" s="80">
        <f t="shared" si="20"/>
        <v>0</v>
      </c>
      <c r="P50" s="81">
        <f t="shared" si="20"/>
        <v>0</v>
      </c>
      <c r="Q50" s="80">
        <f t="shared" si="20"/>
        <v>0</v>
      </c>
      <c r="R50" s="82">
        <f t="shared" si="20"/>
        <v>0</v>
      </c>
    </row>
    <row r="51" spans="1:18" s="15" customFormat="1" ht="14" x14ac:dyDescent="0.3">
      <c r="A51" s="23" t="s">
        <v>79</v>
      </c>
      <c r="B51" s="28" t="s">
        <v>55</v>
      </c>
      <c r="C51" s="12">
        <v>7728.47</v>
      </c>
      <c r="D51" s="12">
        <f>650*12</f>
        <v>7800</v>
      </c>
      <c r="E51" s="143">
        <f t="shared" ref="E51:E64" si="21">(D51-C51)/C51</f>
        <v>9.2553894884756932E-3</v>
      </c>
      <c r="F51" s="94">
        <f>SUM(G51:R51)</f>
        <v>1400.9</v>
      </c>
      <c r="G51" s="129">
        <v>759.74</v>
      </c>
      <c r="H51" s="68">
        <v>641.16</v>
      </c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1:18" s="15" customFormat="1" ht="14" x14ac:dyDescent="0.3">
      <c r="A52" s="24" t="s">
        <v>80</v>
      </c>
      <c r="B52" s="29" t="s">
        <v>49</v>
      </c>
      <c r="C52" s="12">
        <v>675.24999999999989</v>
      </c>
      <c r="D52" s="111">
        <v>700</v>
      </c>
      <c r="E52" s="143">
        <f t="shared" si="21"/>
        <v>3.6653091447612168E-2</v>
      </c>
      <c r="F52" s="94">
        <f t="shared" ref="F52:F64" si="22">SUM(G52:R52)</f>
        <v>184.7</v>
      </c>
      <c r="G52" s="78">
        <v>139.79</v>
      </c>
      <c r="H52" s="69">
        <v>44.91</v>
      </c>
      <c r="I52" s="69"/>
      <c r="J52" s="69"/>
      <c r="K52" s="69"/>
      <c r="L52" s="69"/>
      <c r="M52" s="69"/>
      <c r="N52" s="69"/>
      <c r="O52" s="69"/>
      <c r="P52" s="69"/>
      <c r="Q52" s="69"/>
      <c r="R52" s="17"/>
    </row>
    <row r="53" spans="1:18" s="15" customFormat="1" ht="14" x14ac:dyDescent="0.3">
      <c r="A53" s="24" t="s">
        <v>81</v>
      </c>
      <c r="B53" s="29" t="s">
        <v>102</v>
      </c>
      <c r="C53" s="12">
        <v>982.5</v>
      </c>
      <c r="D53" s="111">
        <v>1000</v>
      </c>
      <c r="E53" s="143">
        <f t="shared" si="21"/>
        <v>1.7811704834605598E-2</v>
      </c>
      <c r="F53" s="94">
        <f t="shared" si="22"/>
        <v>525</v>
      </c>
      <c r="G53" s="78"/>
      <c r="H53" s="69">
        <v>525</v>
      </c>
      <c r="I53" s="69"/>
      <c r="J53" s="69"/>
      <c r="K53" s="69"/>
      <c r="L53" s="69"/>
      <c r="M53" s="69"/>
      <c r="N53" s="69"/>
      <c r="O53" s="69"/>
      <c r="P53" s="69"/>
      <c r="Q53" s="69"/>
      <c r="R53" s="17"/>
    </row>
    <row r="54" spans="1:18" s="15" customFormat="1" ht="14" x14ac:dyDescent="0.3">
      <c r="A54" s="24" t="s">
        <v>82</v>
      </c>
      <c r="B54" s="29" t="s">
        <v>42</v>
      </c>
      <c r="C54" s="12">
        <v>482.43</v>
      </c>
      <c r="D54" s="111">
        <v>1000</v>
      </c>
      <c r="E54" s="143">
        <f t="shared" si="21"/>
        <v>1.0728395829446757</v>
      </c>
      <c r="F54" s="94">
        <f t="shared" si="22"/>
        <v>393.41999999999996</v>
      </c>
      <c r="G54" s="78">
        <v>325.45</v>
      </c>
      <c r="H54" s="69">
        <v>67.97</v>
      </c>
      <c r="I54" s="69"/>
      <c r="J54" s="69"/>
      <c r="K54" s="69"/>
      <c r="L54" s="69"/>
      <c r="M54" s="69"/>
      <c r="N54" s="69"/>
      <c r="O54" s="69"/>
      <c r="P54" s="69"/>
      <c r="Q54" s="69"/>
      <c r="R54" s="17"/>
    </row>
    <row r="55" spans="1:18" s="15" customFormat="1" ht="14" x14ac:dyDescent="0.3">
      <c r="A55" s="24" t="s">
        <v>83</v>
      </c>
      <c r="B55" s="29" t="s">
        <v>54</v>
      </c>
      <c r="C55" s="12">
        <v>346.72999999999996</v>
      </c>
      <c r="D55" s="111">
        <v>350</v>
      </c>
      <c r="E55" s="143">
        <f t="shared" si="21"/>
        <v>9.4309693421395294E-3</v>
      </c>
      <c r="F55" s="94">
        <f t="shared" si="22"/>
        <v>61.88</v>
      </c>
      <c r="G55" s="78">
        <v>38.31</v>
      </c>
      <c r="H55" s="69">
        <v>23.57</v>
      </c>
      <c r="I55" s="69"/>
      <c r="J55" s="69"/>
      <c r="K55" s="69"/>
      <c r="L55" s="69"/>
      <c r="M55" s="69"/>
      <c r="N55" s="69"/>
      <c r="O55" s="69"/>
      <c r="P55" s="69"/>
      <c r="Q55" s="69"/>
      <c r="R55" s="17"/>
    </row>
    <row r="56" spans="1:18" s="15" customFormat="1" ht="14" x14ac:dyDescent="0.3">
      <c r="A56" s="24" t="s">
        <v>84</v>
      </c>
      <c r="B56" s="29" t="s">
        <v>261</v>
      </c>
      <c r="C56" s="12">
        <v>0</v>
      </c>
      <c r="D56" s="111">
        <f>5771+4000</f>
        <v>9771</v>
      </c>
      <c r="E56" s="143"/>
      <c r="F56" s="94">
        <f t="shared" si="22"/>
        <v>0</v>
      </c>
      <c r="G56" s="78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17"/>
    </row>
    <row r="57" spans="1:18" s="15" customFormat="1" ht="14" x14ac:dyDescent="0.3">
      <c r="A57" s="24" t="s">
        <v>85</v>
      </c>
      <c r="B57" s="29" t="s">
        <v>43</v>
      </c>
      <c r="C57" s="12">
        <v>1210</v>
      </c>
      <c r="D57" s="111">
        <v>1210</v>
      </c>
      <c r="E57" s="143">
        <f t="shared" si="21"/>
        <v>0</v>
      </c>
      <c r="F57" s="94">
        <f t="shared" si="22"/>
        <v>605</v>
      </c>
      <c r="G57" s="78">
        <v>605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17"/>
    </row>
    <row r="58" spans="1:18" s="15" customFormat="1" ht="14" x14ac:dyDescent="0.3">
      <c r="A58" s="24" t="s">
        <v>86</v>
      </c>
      <c r="B58" s="29" t="s">
        <v>98</v>
      </c>
      <c r="C58" s="12">
        <v>8251.4</v>
      </c>
      <c r="D58" s="111">
        <f>750*12</f>
        <v>9000</v>
      </c>
      <c r="E58" s="143">
        <f t="shared" si="21"/>
        <v>9.0723998351794899E-2</v>
      </c>
      <c r="F58" s="94">
        <f t="shared" si="22"/>
        <v>1500.4</v>
      </c>
      <c r="G58" s="78">
        <v>750.2</v>
      </c>
      <c r="H58" s="69">
        <v>750.2</v>
      </c>
      <c r="I58" s="69"/>
      <c r="J58" s="69"/>
      <c r="K58" s="69"/>
      <c r="L58" s="69"/>
      <c r="M58" s="69"/>
      <c r="N58" s="69"/>
      <c r="O58" s="69"/>
      <c r="P58" s="69"/>
      <c r="Q58" s="69"/>
      <c r="R58" s="17"/>
    </row>
    <row r="59" spans="1:18" s="15" customFormat="1" ht="14" x14ac:dyDescent="0.3">
      <c r="A59" s="24" t="s">
        <v>87</v>
      </c>
      <c r="B59" s="29" t="s">
        <v>398</v>
      </c>
      <c r="C59" s="12">
        <v>531.41999999999996</v>
      </c>
      <c r="D59" s="111">
        <v>6000</v>
      </c>
      <c r="E59" s="143">
        <f t="shared" si="21"/>
        <v>10.290504685559446</v>
      </c>
      <c r="F59" s="94">
        <f t="shared" si="22"/>
        <v>16.59</v>
      </c>
      <c r="G59" s="78"/>
      <c r="H59" s="69">
        <v>16.59</v>
      </c>
      <c r="I59" s="69"/>
      <c r="J59" s="69"/>
      <c r="K59" s="69"/>
      <c r="L59" s="69"/>
      <c r="M59" s="69"/>
      <c r="N59" s="69"/>
      <c r="O59" s="69"/>
      <c r="P59" s="69"/>
      <c r="Q59" s="69"/>
      <c r="R59" s="17"/>
    </row>
    <row r="60" spans="1:18" s="15" customFormat="1" ht="14" x14ac:dyDescent="0.3">
      <c r="A60" s="31" t="s">
        <v>88</v>
      </c>
      <c r="B60" s="29" t="s">
        <v>68</v>
      </c>
      <c r="C60" s="12">
        <v>1024</v>
      </c>
      <c r="D60" s="111">
        <v>1200</v>
      </c>
      <c r="E60" s="143">
        <f t="shared" si="21"/>
        <v>0.171875</v>
      </c>
      <c r="F60" s="94">
        <f>SUM(G60:R60)</f>
        <v>0</v>
      </c>
      <c r="G60" s="78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71"/>
    </row>
    <row r="61" spans="1:18" s="15" customFormat="1" ht="14" x14ac:dyDescent="0.3">
      <c r="A61" s="31" t="s">
        <v>89</v>
      </c>
      <c r="B61" s="40" t="s">
        <v>44</v>
      </c>
      <c r="C61" s="12">
        <v>4911.91</v>
      </c>
      <c r="D61" s="116">
        <v>5000</v>
      </c>
      <c r="E61" s="143">
        <f t="shared" si="21"/>
        <v>1.7933960516377568E-2</v>
      </c>
      <c r="F61" s="94">
        <f t="shared" si="22"/>
        <v>0</v>
      </c>
      <c r="G61" s="135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41"/>
    </row>
    <row r="62" spans="1:18" s="15" customFormat="1" ht="14" x14ac:dyDescent="0.3">
      <c r="A62" s="24" t="s">
        <v>90</v>
      </c>
      <c r="B62" s="29" t="s">
        <v>76</v>
      </c>
      <c r="C62" s="12">
        <v>0</v>
      </c>
      <c r="D62" s="111"/>
      <c r="E62" s="143"/>
      <c r="F62" s="94">
        <f>SUM(G62:R62)</f>
        <v>0</v>
      </c>
      <c r="G62" s="78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17"/>
    </row>
    <row r="63" spans="1:18" s="15" customFormat="1" ht="14" x14ac:dyDescent="0.3">
      <c r="A63" s="31" t="s">
        <v>91</v>
      </c>
      <c r="B63" s="42" t="s">
        <v>45</v>
      </c>
      <c r="C63" s="12">
        <v>0</v>
      </c>
      <c r="D63" s="117"/>
      <c r="E63" s="143"/>
      <c r="F63" s="94">
        <f t="shared" si="22"/>
        <v>0</v>
      </c>
      <c r="G63" s="135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41"/>
    </row>
    <row r="64" spans="1:18" s="15" customFormat="1" ht="14.5" thickBot="1" x14ac:dyDescent="0.35">
      <c r="A64" s="21" t="s">
        <v>92</v>
      </c>
      <c r="B64" s="43" t="s">
        <v>106</v>
      </c>
      <c r="C64" s="18">
        <v>9678.73</v>
      </c>
      <c r="D64" s="109">
        <v>4000</v>
      </c>
      <c r="E64" s="143">
        <f t="shared" si="21"/>
        <v>-0.58672263819736681</v>
      </c>
      <c r="F64" s="95">
        <f t="shared" si="22"/>
        <v>742.98</v>
      </c>
      <c r="G64" s="136">
        <v>120.98</v>
      </c>
      <c r="H64" s="66">
        <v>622</v>
      </c>
      <c r="I64" s="66"/>
      <c r="J64" s="66"/>
      <c r="K64" s="66"/>
      <c r="L64" s="66"/>
      <c r="M64" s="66"/>
      <c r="N64" s="66"/>
      <c r="O64" s="66"/>
      <c r="P64" s="66"/>
      <c r="Q64" s="66"/>
      <c r="R64" s="44"/>
    </row>
    <row r="65" spans="1:18" s="39" customFormat="1" ht="16.5" customHeight="1" thickBot="1" x14ac:dyDescent="0.4">
      <c r="A65" s="316" t="s">
        <v>41</v>
      </c>
      <c r="B65" s="324" t="s">
        <v>96</v>
      </c>
      <c r="C65" s="325">
        <f t="shared" ref="C65" si="23">SUM(C66:C68)</f>
        <v>64700</v>
      </c>
      <c r="D65" s="325">
        <f t="shared" ref="D65" si="24">SUM(D66:D68)</f>
        <v>73044</v>
      </c>
      <c r="E65" s="319"/>
      <c r="F65" s="320">
        <f t="shared" ref="F65:R65" si="25">SUM(F66:F68)</f>
        <v>9338.4</v>
      </c>
      <c r="G65" s="133">
        <f t="shared" si="25"/>
        <v>5586.98</v>
      </c>
      <c r="H65" s="70">
        <f t="shared" si="25"/>
        <v>3751.42</v>
      </c>
      <c r="I65" s="70">
        <f t="shared" si="25"/>
        <v>0</v>
      </c>
      <c r="J65" s="70">
        <f t="shared" si="25"/>
        <v>0</v>
      </c>
      <c r="K65" s="70">
        <f>SUM(K66:K68)</f>
        <v>0</v>
      </c>
      <c r="L65" s="70">
        <f>SUM(L66:L68)</f>
        <v>0</v>
      </c>
      <c r="M65" s="70">
        <f t="shared" si="25"/>
        <v>0</v>
      </c>
      <c r="N65" s="37">
        <f t="shared" si="25"/>
        <v>0</v>
      </c>
      <c r="O65" s="37">
        <f t="shared" si="25"/>
        <v>0</v>
      </c>
      <c r="P65" s="70">
        <f t="shared" si="25"/>
        <v>0</v>
      </c>
      <c r="Q65" s="70">
        <f t="shared" si="25"/>
        <v>0</v>
      </c>
      <c r="R65" s="38">
        <f t="shared" si="25"/>
        <v>0</v>
      </c>
    </row>
    <row r="66" spans="1:18" s="15" customFormat="1" ht="14.5" thickBot="1" x14ac:dyDescent="0.35">
      <c r="A66" s="96" t="s">
        <v>93</v>
      </c>
      <c r="B66" s="97" t="s">
        <v>48</v>
      </c>
      <c r="C66" s="346">
        <v>64700</v>
      </c>
      <c r="D66" s="346">
        <f>(5587*12)+(500*12)</f>
        <v>73044</v>
      </c>
      <c r="E66" s="343">
        <v>0.27665007021575394</v>
      </c>
      <c r="F66" s="337">
        <f>SUM(G66:R68)</f>
        <v>9338.4</v>
      </c>
      <c r="G66" s="340">
        <v>5586.98</v>
      </c>
      <c r="H66" s="355">
        <v>3751.42</v>
      </c>
      <c r="I66" s="355"/>
      <c r="J66" s="355"/>
      <c r="K66" s="355"/>
      <c r="L66" s="355"/>
      <c r="M66" s="355"/>
      <c r="N66" s="355"/>
      <c r="O66" s="355"/>
      <c r="P66" s="355"/>
      <c r="Q66" s="355"/>
      <c r="R66" s="352"/>
    </row>
    <row r="67" spans="1:18" s="15" customFormat="1" ht="14.5" thickBot="1" x14ac:dyDescent="0.35">
      <c r="A67" s="23" t="s">
        <v>94</v>
      </c>
      <c r="B67" s="25" t="s">
        <v>46</v>
      </c>
      <c r="C67" s="347">
        <f>SUM(D67:P67)</f>
        <v>0</v>
      </c>
      <c r="D67" s="347"/>
      <c r="E67" s="344"/>
      <c r="F67" s="338">
        <f t="shared" ref="F67:F68" si="26">SUM(G67:R67)</f>
        <v>0</v>
      </c>
      <c r="G67" s="341"/>
      <c r="H67" s="356"/>
      <c r="I67" s="356"/>
      <c r="J67" s="356"/>
      <c r="K67" s="356"/>
      <c r="L67" s="356"/>
      <c r="M67" s="356"/>
      <c r="N67" s="356"/>
      <c r="O67" s="356"/>
      <c r="P67" s="356"/>
      <c r="Q67" s="356"/>
      <c r="R67" s="353"/>
    </row>
    <row r="68" spans="1:18" s="15" customFormat="1" ht="14.5" thickBot="1" x14ac:dyDescent="0.35">
      <c r="A68" s="47" t="s">
        <v>95</v>
      </c>
      <c r="B68" s="98" t="s">
        <v>47</v>
      </c>
      <c r="C68" s="348">
        <f>SUM(D68:P68)</f>
        <v>0</v>
      </c>
      <c r="D68" s="348"/>
      <c r="E68" s="345"/>
      <c r="F68" s="339">
        <f t="shared" si="26"/>
        <v>0</v>
      </c>
      <c r="G68" s="342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4"/>
    </row>
    <row r="69" spans="1:18" x14ac:dyDescent="0.35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35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35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35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35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35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35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35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35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35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35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35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7:18" x14ac:dyDescent="0.35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7:18" x14ac:dyDescent="0.35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7:18" x14ac:dyDescent="0.35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7:18" x14ac:dyDescent="0.35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7:18" x14ac:dyDescent="0.35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7:18" x14ac:dyDescent="0.35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7:18" x14ac:dyDescent="0.35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7:18" x14ac:dyDescent="0.35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</sheetData>
  <mergeCells count="19">
    <mergeCell ref="R66:R68"/>
    <mergeCell ref="D66:D68"/>
    <mergeCell ref="J66:J68"/>
    <mergeCell ref="K66:K68"/>
    <mergeCell ref="L66:L68"/>
    <mergeCell ref="M66:M68"/>
    <mergeCell ref="N66:N68"/>
    <mergeCell ref="O66:O68"/>
    <mergeCell ref="P66:P68"/>
    <mergeCell ref="Q66:Q68"/>
    <mergeCell ref="H66:H68"/>
    <mergeCell ref="I66:I68"/>
    <mergeCell ref="F66:F68"/>
    <mergeCell ref="G66:G68"/>
    <mergeCell ref="E66:E68"/>
    <mergeCell ref="C66:C68"/>
    <mergeCell ref="A1:B1"/>
    <mergeCell ref="A2:B2"/>
    <mergeCell ref="A3:B3"/>
  </mergeCells>
  <pageMargins left="0.7" right="0.7" top="0.75" bottom="0.75" header="0.3" footer="0.3"/>
  <pageSetup paperSize="9" scale="6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DF4C-315A-C54E-945A-05FCDF3F2F5A}">
  <dimension ref="A1:Q48"/>
  <sheetViews>
    <sheetView zoomScale="90" zoomScaleNormal="90" workbookViewId="0"/>
  </sheetViews>
  <sheetFormatPr defaultColWidth="10.6640625" defaultRowHeight="15.5" x14ac:dyDescent="0.35"/>
  <cols>
    <col min="1" max="1" width="32.1640625" bestFit="1" customWidth="1"/>
    <col min="2" max="13" width="10.83203125" style="46"/>
  </cols>
  <sheetData>
    <row r="1" spans="1:14" ht="19" customHeight="1" x14ac:dyDescent="0.35">
      <c r="A1" s="74"/>
      <c r="B1" s="75" t="s">
        <v>1</v>
      </c>
      <c r="C1" s="75" t="s">
        <v>2</v>
      </c>
      <c r="D1" s="75" t="s">
        <v>3</v>
      </c>
      <c r="E1" s="75" t="s">
        <v>4</v>
      </c>
      <c r="F1" s="75" t="s">
        <v>57</v>
      </c>
      <c r="G1" s="75" t="s">
        <v>6</v>
      </c>
      <c r="H1" s="75" t="s">
        <v>7</v>
      </c>
      <c r="I1" s="75" t="s">
        <v>8</v>
      </c>
      <c r="J1" s="75" t="s">
        <v>9</v>
      </c>
      <c r="K1" s="75" t="s">
        <v>58</v>
      </c>
      <c r="L1" s="75" t="s">
        <v>11</v>
      </c>
      <c r="M1" s="75" t="s">
        <v>12</v>
      </c>
      <c r="N1" s="75" t="s">
        <v>51</v>
      </c>
    </row>
    <row r="2" spans="1:14" x14ac:dyDescent="0.35">
      <c r="A2" s="74" t="s">
        <v>75</v>
      </c>
      <c r="B2" s="75"/>
      <c r="C2" s="75">
        <v>9406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>
        <f t="shared" ref="N2:N12" si="0">SUM(B2:M2)</f>
        <v>9406</v>
      </c>
    </row>
    <row r="3" spans="1:14" x14ac:dyDescent="0.35">
      <c r="A3" s="74" t="s">
        <v>109</v>
      </c>
      <c r="B3" s="75"/>
      <c r="C3" s="75">
        <v>550</v>
      </c>
      <c r="D3" s="75"/>
      <c r="E3" s="75"/>
      <c r="F3" s="75"/>
      <c r="G3" s="75"/>
      <c r="H3" s="75"/>
      <c r="I3" s="76"/>
      <c r="J3" s="75"/>
      <c r="K3" s="75"/>
      <c r="L3" s="75"/>
      <c r="M3" s="75"/>
      <c r="N3" s="76">
        <f>SUM(B3:M3)</f>
        <v>550</v>
      </c>
    </row>
    <row r="4" spans="1:14" x14ac:dyDescent="0.35">
      <c r="A4" s="74" t="s">
        <v>265</v>
      </c>
      <c r="B4" s="75"/>
      <c r="C4" s="75">
        <v>4600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>
        <f t="shared" si="0"/>
        <v>4600</v>
      </c>
    </row>
    <row r="5" spans="1:14" x14ac:dyDescent="0.35">
      <c r="A5" s="74" t="s">
        <v>111</v>
      </c>
      <c r="B5" s="75"/>
      <c r="C5" s="75">
        <v>750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>
        <f t="shared" si="0"/>
        <v>750</v>
      </c>
    </row>
    <row r="6" spans="1:14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>
        <f t="shared" si="0"/>
        <v>0</v>
      </c>
    </row>
    <row r="7" spans="1:14" x14ac:dyDescent="0.35">
      <c r="A7" s="102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75">
        <f t="shared" si="0"/>
        <v>0</v>
      </c>
    </row>
    <row r="8" spans="1:14" x14ac:dyDescent="0.35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75">
        <f t="shared" si="0"/>
        <v>0</v>
      </c>
    </row>
    <row r="9" spans="1:14" x14ac:dyDescent="0.35">
      <c r="A9" s="102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75">
        <f t="shared" ref="N9:N11" si="1">SUM(B9:M9)</f>
        <v>0</v>
      </c>
    </row>
    <row r="10" spans="1:14" x14ac:dyDescent="0.35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>
        <f t="shared" si="1"/>
        <v>0</v>
      </c>
    </row>
    <row r="11" spans="1:14" x14ac:dyDescent="0.35">
      <c r="A11" s="88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75">
        <f t="shared" si="1"/>
        <v>0</v>
      </c>
    </row>
    <row r="12" spans="1:14" x14ac:dyDescent="0.35">
      <c r="A12" s="74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>
        <f t="shared" si="0"/>
        <v>0</v>
      </c>
    </row>
    <row r="13" spans="1:14" x14ac:dyDescent="0.35">
      <c r="N13" s="77">
        <f>SUM(N2:N12)</f>
        <v>15306</v>
      </c>
    </row>
    <row r="15" spans="1:14" x14ac:dyDescent="0.35">
      <c r="A15" t="s">
        <v>63</v>
      </c>
    </row>
    <row r="16" spans="1:14" x14ac:dyDescent="0.35">
      <c r="A16" s="74"/>
      <c r="B16" s="75" t="s">
        <v>1</v>
      </c>
      <c r="C16" s="75" t="s">
        <v>2</v>
      </c>
      <c r="D16" s="75" t="s">
        <v>3</v>
      </c>
      <c r="E16" s="75" t="s">
        <v>4</v>
      </c>
      <c r="F16" s="75" t="s">
        <v>57</v>
      </c>
      <c r="G16" s="75" t="s">
        <v>6</v>
      </c>
      <c r="H16" s="75" t="s">
        <v>7</v>
      </c>
      <c r="I16" s="75" t="s">
        <v>8</v>
      </c>
      <c r="J16" s="75" t="s">
        <v>9</v>
      </c>
      <c r="K16" s="75" t="s">
        <v>58</v>
      </c>
      <c r="L16" s="75" t="s">
        <v>11</v>
      </c>
      <c r="M16" s="75" t="s">
        <v>12</v>
      </c>
      <c r="N16" s="75" t="s">
        <v>51</v>
      </c>
    </row>
    <row r="17" spans="1:14" x14ac:dyDescent="0.35">
      <c r="A17" s="74" t="s">
        <v>107</v>
      </c>
      <c r="B17" s="87">
        <v>2000</v>
      </c>
      <c r="C17" s="87"/>
      <c r="D17" s="87"/>
      <c r="E17" s="75"/>
      <c r="F17" s="75"/>
      <c r="G17" s="75"/>
      <c r="H17" s="75"/>
      <c r="I17" s="75"/>
      <c r="J17" s="75"/>
      <c r="K17" s="75"/>
      <c r="L17" s="75"/>
      <c r="M17" s="75"/>
      <c r="N17" s="75">
        <f t="shared" ref="N17" si="2">SUM(B17:M17)</f>
        <v>2000</v>
      </c>
    </row>
    <row r="18" spans="1:14" x14ac:dyDescent="0.35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>
        <f>SUM(B18:M18)</f>
        <v>0</v>
      </c>
    </row>
    <row r="19" spans="1:14" x14ac:dyDescent="0.35">
      <c r="A19" s="102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75">
        <f>SUM(B19:M19)</f>
        <v>0</v>
      </c>
    </row>
    <row r="20" spans="1:14" x14ac:dyDescent="0.35">
      <c r="A20" s="88"/>
      <c r="B20" s="87"/>
      <c r="C20" s="87"/>
      <c r="D20" s="87"/>
      <c r="E20" s="87"/>
      <c r="F20" s="93"/>
      <c r="G20" s="87"/>
      <c r="H20" s="87"/>
      <c r="I20" s="87"/>
      <c r="J20" s="87"/>
      <c r="K20" s="87"/>
      <c r="L20" s="87"/>
      <c r="M20" s="87"/>
      <c r="N20" s="76">
        <f>SUM(B20:M20)</f>
        <v>0</v>
      </c>
    </row>
    <row r="21" spans="1:14" x14ac:dyDescent="0.35">
      <c r="A21" s="88"/>
      <c r="B21" s="87"/>
      <c r="C21" s="87"/>
      <c r="D21" s="87"/>
      <c r="E21" s="87"/>
      <c r="F21" s="93"/>
      <c r="G21" s="87"/>
      <c r="H21" s="87"/>
      <c r="I21" s="87"/>
      <c r="J21" s="87"/>
      <c r="K21" s="87"/>
      <c r="L21" s="87"/>
      <c r="M21" s="87"/>
      <c r="N21" s="76">
        <f>SUM(B21:M21)</f>
        <v>0</v>
      </c>
    </row>
    <row r="22" spans="1:14" x14ac:dyDescent="0.35">
      <c r="A22" s="88"/>
      <c r="B22" s="87"/>
      <c r="C22" s="87"/>
      <c r="D22" s="87"/>
      <c r="E22" s="87"/>
      <c r="F22" s="93"/>
      <c r="G22" s="87"/>
      <c r="H22" s="87"/>
      <c r="I22" s="87"/>
      <c r="J22" s="87"/>
      <c r="K22" s="87"/>
      <c r="L22" s="87"/>
      <c r="M22" s="87"/>
      <c r="N22" s="76">
        <f>SUM(B22:M22)</f>
        <v>0</v>
      </c>
    </row>
    <row r="23" spans="1:14" x14ac:dyDescent="0.35">
      <c r="N23" s="77">
        <f>SUM(N17:N22)</f>
        <v>2000</v>
      </c>
    </row>
    <row r="24" spans="1:14" x14ac:dyDescent="0.35">
      <c r="A24" t="s">
        <v>114</v>
      </c>
    </row>
    <row r="25" spans="1:14" x14ac:dyDescent="0.35">
      <c r="A25" s="74"/>
      <c r="B25" s="75" t="s">
        <v>1</v>
      </c>
      <c r="C25" s="75" t="s">
        <v>2</v>
      </c>
      <c r="D25" s="75" t="s">
        <v>3</v>
      </c>
      <c r="E25" s="75" t="s">
        <v>4</v>
      </c>
      <c r="F25" s="75" t="s">
        <v>57</v>
      </c>
      <c r="G25" s="75" t="s">
        <v>6</v>
      </c>
      <c r="H25" s="75" t="s">
        <v>7</v>
      </c>
      <c r="I25" s="75" t="s">
        <v>8</v>
      </c>
      <c r="J25" s="75" t="s">
        <v>9</v>
      </c>
      <c r="K25" s="75" t="s">
        <v>58</v>
      </c>
      <c r="L25" s="75" t="s">
        <v>11</v>
      </c>
      <c r="M25" s="75" t="s">
        <v>12</v>
      </c>
      <c r="N25" s="75" t="s">
        <v>51</v>
      </c>
    </row>
    <row r="26" spans="1:14" x14ac:dyDescent="0.35">
      <c r="A26" s="74" t="s">
        <v>112</v>
      </c>
      <c r="B26" s="75">
        <v>1750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>
        <f>SUM(B26:M26)</f>
        <v>1750</v>
      </c>
    </row>
    <row r="27" spans="1:14" x14ac:dyDescent="0.35">
      <c r="A27" s="74" t="s">
        <v>108</v>
      </c>
      <c r="B27" s="75">
        <v>1000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>
        <f t="shared" ref="N27:N41" si="3">SUM(B27:M27)</f>
        <v>1000</v>
      </c>
    </row>
    <row r="28" spans="1:14" x14ac:dyDescent="0.35">
      <c r="A28" s="74" t="s">
        <v>262</v>
      </c>
      <c r="B28" s="75">
        <v>6000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75">
        <f t="shared" si="3"/>
        <v>6000</v>
      </c>
    </row>
    <row r="29" spans="1:14" x14ac:dyDescent="0.35">
      <c r="A29" s="74" t="s">
        <v>263</v>
      </c>
      <c r="B29" s="75"/>
      <c r="C29" s="103">
        <v>800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75">
        <f t="shared" si="3"/>
        <v>800</v>
      </c>
    </row>
    <row r="30" spans="1:14" x14ac:dyDescent="0.35">
      <c r="A30" s="102" t="s">
        <v>264</v>
      </c>
      <c r="B30" s="103"/>
      <c r="C30" s="103">
        <v>500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75">
        <f t="shared" si="3"/>
        <v>500</v>
      </c>
    </row>
    <row r="31" spans="1:14" x14ac:dyDescent="0.35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75">
        <f t="shared" si="3"/>
        <v>0</v>
      </c>
    </row>
    <row r="32" spans="1:14" x14ac:dyDescent="0.35">
      <c r="A32" s="88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75">
        <f t="shared" si="3"/>
        <v>0</v>
      </c>
    </row>
    <row r="33" spans="1:17" x14ac:dyDescent="0.35">
      <c r="A33" s="88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75">
        <f t="shared" ref="N33:N34" si="4">SUM(B33:M33)</f>
        <v>0</v>
      </c>
    </row>
    <row r="34" spans="1:17" x14ac:dyDescent="0.35">
      <c r="A34" s="88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75">
        <f t="shared" si="4"/>
        <v>0</v>
      </c>
    </row>
    <row r="35" spans="1:17" x14ac:dyDescent="0.35">
      <c r="A35" s="88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75">
        <f t="shared" si="3"/>
        <v>0</v>
      </c>
    </row>
    <row r="36" spans="1:17" x14ac:dyDescent="0.35">
      <c r="A36" s="88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75">
        <f t="shared" si="3"/>
        <v>0</v>
      </c>
    </row>
    <row r="37" spans="1:17" x14ac:dyDescent="0.35">
      <c r="A37" s="88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75">
        <f t="shared" si="3"/>
        <v>0</v>
      </c>
    </row>
    <row r="38" spans="1:17" x14ac:dyDescent="0.35">
      <c r="A38" s="88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75">
        <f t="shared" ref="N38:N40" si="5">SUM(B38:M38)</f>
        <v>0</v>
      </c>
    </row>
    <row r="39" spans="1:17" x14ac:dyDescent="0.35">
      <c r="A39" s="88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75">
        <f t="shared" si="5"/>
        <v>0</v>
      </c>
    </row>
    <row r="40" spans="1:17" x14ac:dyDescent="0.35">
      <c r="A40" s="88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75">
        <f t="shared" si="5"/>
        <v>0</v>
      </c>
    </row>
    <row r="41" spans="1:17" x14ac:dyDescent="0.35">
      <c r="A41" s="88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75">
        <f t="shared" si="3"/>
        <v>0</v>
      </c>
    </row>
    <row r="42" spans="1:17" x14ac:dyDescent="0.35">
      <c r="N42" s="77">
        <f>SUM(N26:N41)</f>
        <v>10050</v>
      </c>
      <c r="Q42" s="108"/>
    </row>
    <row r="44" spans="1:17" x14ac:dyDescent="0.35">
      <c r="A44" t="s">
        <v>28</v>
      </c>
    </row>
    <row r="45" spans="1:17" x14ac:dyDescent="0.35">
      <c r="A45" s="74"/>
      <c r="B45" s="75" t="s">
        <v>1</v>
      </c>
      <c r="C45" s="75" t="s">
        <v>2</v>
      </c>
      <c r="D45" s="75" t="s">
        <v>3</v>
      </c>
      <c r="E45" s="75" t="s">
        <v>4</v>
      </c>
      <c r="F45" s="75" t="s">
        <v>57</v>
      </c>
      <c r="G45" s="75" t="s">
        <v>6</v>
      </c>
      <c r="H45" s="75" t="s">
        <v>7</v>
      </c>
      <c r="I45" s="75" t="s">
        <v>8</v>
      </c>
      <c r="J45" s="75" t="s">
        <v>9</v>
      </c>
      <c r="K45" s="75" t="s">
        <v>58</v>
      </c>
      <c r="L45" s="75" t="s">
        <v>11</v>
      </c>
      <c r="M45" s="75" t="s">
        <v>12</v>
      </c>
      <c r="N45" s="75" t="s">
        <v>51</v>
      </c>
    </row>
    <row r="46" spans="1:17" x14ac:dyDescent="0.35">
      <c r="A46" s="74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>
        <f>SUM(B46:M46)</f>
        <v>0</v>
      </c>
    </row>
    <row r="47" spans="1:17" x14ac:dyDescent="0.35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>
        <f t="shared" ref="N47" si="6">SUM(B47:M47)</f>
        <v>0</v>
      </c>
    </row>
    <row r="48" spans="1:17" x14ac:dyDescent="0.35">
      <c r="N48" s="77">
        <f>SUM(N46:N47)</f>
        <v>0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1AAB-2165-C940-8DA5-8D88E56C3AB1}">
  <dimension ref="A1:H17"/>
  <sheetViews>
    <sheetView zoomScaleNormal="100" workbookViewId="0"/>
  </sheetViews>
  <sheetFormatPr defaultColWidth="11.5" defaultRowHeight="15.5" x14ac:dyDescent="0.35"/>
  <cols>
    <col min="1" max="1" width="10.1640625" customWidth="1"/>
    <col min="2" max="2" width="13.33203125" customWidth="1"/>
    <col min="3" max="3" width="12" style="46" customWidth="1"/>
    <col min="4" max="5" width="11.5" style="46"/>
  </cols>
  <sheetData>
    <row r="1" spans="1:8" ht="27" thickBot="1" x14ac:dyDescent="0.4">
      <c r="A1" s="56">
        <v>2025</v>
      </c>
      <c r="B1" s="57" t="s">
        <v>27</v>
      </c>
      <c r="C1" s="58" t="s">
        <v>56</v>
      </c>
      <c r="D1" s="56">
        <v>2024</v>
      </c>
      <c r="E1" s="57" t="s">
        <v>27</v>
      </c>
      <c r="F1" s="58" t="s">
        <v>56</v>
      </c>
    </row>
    <row r="2" spans="1:8" x14ac:dyDescent="0.35">
      <c r="A2" s="54" t="s">
        <v>1</v>
      </c>
      <c r="B2" s="13">
        <v>1570</v>
      </c>
      <c r="C2" s="55"/>
      <c r="D2" s="54" t="s">
        <v>1</v>
      </c>
      <c r="E2" s="60">
        <v>1490</v>
      </c>
      <c r="F2" s="55"/>
    </row>
    <row r="3" spans="1:8" x14ac:dyDescent="0.35">
      <c r="A3" s="49" t="s">
        <v>2</v>
      </c>
      <c r="B3" s="60">
        <v>4345</v>
      </c>
      <c r="C3" s="17">
        <v>1400</v>
      </c>
      <c r="D3" s="49" t="s">
        <v>2</v>
      </c>
      <c r="E3" s="60">
        <v>5747</v>
      </c>
      <c r="F3" s="17">
        <v>3400</v>
      </c>
    </row>
    <row r="4" spans="1:8" x14ac:dyDescent="0.35">
      <c r="A4" s="49" t="s">
        <v>3</v>
      </c>
      <c r="B4" s="60"/>
      <c r="C4" s="17"/>
      <c r="D4" s="49" t="s">
        <v>3</v>
      </c>
      <c r="E4" s="60">
        <v>7938</v>
      </c>
      <c r="F4" s="17">
        <v>990</v>
      </c>
    </row>
    <row r="5" spans="1:8" x14ac:dyDescent="0.35">
      <c r="A5" s="49" t="s">
        <v>4</v>
      </c>
      <c r="B5" s="60"/>
      <c r="C5" s="17"/>
      <c r="D5" s="49" t="s">
        <v>4</v>
      </c>
      <c r="E5" s="60">
        <v>14095</v>
      </c>
      <c r="F5" s="17">
        <v>280</v>
      </c>
      <c r="G5" s="46"/>
    </row>
    <row r="6" spans="1:8" x14ac:dyDescent="0.35">
      <c r="A6" s="49" t="s">
        <v>57</v>
      </c>
      <c r="B6" s="60"/>
      <c r="C6" s="17"/>
      <c r="D6" s="49" t="s">
        <v>57</v>
      </c>
      <c r="E6" s="60">
        <v>3585</v>
      </c>
      <c r="F6" s="17">
        <v>200</v>
      </c>
      <c r="G6" s="89"/>
      <c r="H6" s="59"/>
    </row>
    <row r="7" spans="1:8" x14ac:dyDescent="0.35">
      <c r="A7" s="49" t="s">
        <v>6</v>
      </c>
      <c r="B7" s="60"/>
      <c r="C7" s="17"/>
      <c r="D7" s="49" t="s">
        <v>6</v>
      </c>
      <c r="E7" s="60">
        <v>2078</v>
      </c>
      <c r="F7" s="17">
        <v>200</v>
      </c>
    </row>
    <row r="8" spans="1:8" x14ac:dyDescent="0.35">
      <c r="A8" s="49" t="s">
        <v>7</v>
      </c>
      <c r="B8" s="60"/>
      <c r="C8" s="17"/>
      <c r="D8" s="49" t="s">
        <v>7</v>
      </c>
      <c r="E8" s="60">
        <v>1755</v>
      </c>
      <c r="F8" s="17"/>
    </row>
    <row r="9" spans="1:8" x14ac:dyDescent="0.35">
      <c r="A9" s="49" t="s">
        <v>8</v>
      </c>
      <c r="B9" s="60"/>
      <c r="C9" s="17"/>
      <c r="D9" s="49" t="s">
        <v>8</v>
      </c>
      <c r="E9" s="60">
        <v>470</v>
      </c>
      <c r="F9" s="17"/>
    </row>
    <row r="10" spans="1:8" x14ac:dyDescent="0.35">
      <c r="A10" s="49" t="s">
        <v>9</v>
      </c>
      <c r="B10" s="60"/>
      <c r="C10" s="17"/>
      <c r="D10" s="49" t="s">
        <v>9</v>
      </c>
      <c r="E10" s="60">
        <v>120</v>
      </c>
      <c r="F10" s="17">
        <v>100</v>
      </c>
    </row>
    <row r="11" spans="1:8" x14ac:dyDescent="0.35">
      <c r="A11" s="49" t="s">
        <v>58</v>
      </c>
      <c r="B11" s="60"/>
      <c r="C11" s="17"/>
      <c r="D11" s="49" t="s">
        <v>58</v>
      </c>
      <c r="E11" s="60">
        <v>7063</v>
      </c>
      <c r="F11" s="17">
        <v>500</v>
      </c>
    </row>
    <row r="12" spans="1:8" x14ac:dyDescent="0.35">
      <c r="A12" s="49" t="s">
        <v>11</v>
      </c>
      <c r="B12" s="72"/>
      <c r="C12" s="50"/>
      <c r="D12" s="49" t="s">
        <v>11</v>
      </c>
      <c r="E12" s="60"/>
      <c r="F12" s="50"/>
    </row>
    <row r="13" spans="1:8" x14ac:dyDescent="0.35">
      <c r="A13" s="49" t="s">
        <v>12</v>
      </c>
      <c r="B13" s="48"/>
      <c r="C13" s="50"/>
      <c r="D13" s="49" t="s">
        <v>12</v>
      </c>
      <c r="E13" s="60">
        <v>250</v>
      </c>
      <c r="F13" s="73"/>
    </row>
    <row r="14" spans="1:8" ht="16" thickBot="1" x14ac:dyDescent="0.4">
      <c r="A14" s="51" t="s">
        <v>51</v>
      </c>
      <c r="B14" s="52">
        <f>SUM(B2:B13)</f>
        <v>5915</v>
      </c>
      <c r="C14" s="53">
        <f>SUM(C2:C13)</f>
        <v>1400</v>
      </c>
      <c r="D14" s="51" t="s">
        <v>51</v>
      </c>
      <c r="E14" s="52">
        <f>SUM(E2:E13)</f>
        <v>44591</v>
      </c>
      <c r="F14" s="53">
        <f>SUM(F2:F13)</f>
        <v>5670</v>
      </c>
    </row>
    <row r="15" spans="1:8" x14ac:dyDescent="0.35">
      <c r="A15" s="54" t="s">
        <v>74</v>
      </c>
      <c r="B15" s="60" t="s">
        <v>103</v>
      </c>
      <c r="C15" s="55" t="s">
        <v>422</v>
      </c>
      <c r="D15" s="54" t="s">
        <v>74</v>
      </c>
      <c r="E15" s="60" t="s">
        <v>103</v>
      </c>
      <c r="F15" s="55" t="s">
        <v>422</v>
      </c>
    </row>
    <row r="16" spans="1:8" x14ac:dyDescent="0.35">
      <c r="A16" s="49"/>
      <c r="B16" s="60"/>
      <c r="C16" s="17"/>
      <c r="D16" s="49"/>
      <c r="E16" s="60"/>
      <c r="F16" s="17"/>
    </row>
    <row r="17" spans="4:6" x14ac:dyDescent="0.35">
      <c r="D17" s="92"/>
      <c r="E17" s="91"/>
      <c r="F17" s="46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FF3A-B6E1-9D49-A417-F41485378600}">
  <dimension ref="A1:E10"/>
  <sheetViews>
    <sheetView workbookViewId="0">
      <selection activeCell="B1" sqref="B1:C1"/>
    </sheetView>
  </sheetViews>
  <sheetFormatPr defaultColWidth="10.6640625" defaultRowHeight="15.5" x14ac:dyDescent="0.35"/>
  <sheetData>
    <row r="1" spans="1:5" ht="16" thickBot="1" x14ac:dyDescent="0.4">
      <c r="B1" s="358" t="s">
        <v>115</v>
      </c>
      <c r="C1" s="359"/>
      <c r="D1" s="358" t="s">
        <v>131</v>
      </c>
      <c r="E1" s="359"/>
    </row>
    <row r="2" spans="1:5" s="147" customFormat="1" ht="24" customHeight="1" x14ac:dyDescent="0.3">
      <c r="A2" s="144" t="s">
        <v>127</v>
      </c>
      <c r="B2" s="145">
        <v>379337</v>
      </c>
      <c r="C2" s="146"/>
      <c r="D2" s="145">
        <v>361313</v>
      </c>
      <c r="E2" s="146"/>
    </row>
    <row r="3" spans="1:5" s="147" customFormat="1" ht="14" x14ac:dyDescent="0.3">
      <c r="A3" s="148" t="s">
        <v>128</v>
      </c>
      <c r="B3" s="145">
        <f>B2*C3</f>
        <v>75867.400000000009</v>
      </c>
      <c r="C3" s="149">
        <v>0.2</v>
      </c>
      <c r="D3" s="145">
        <f>D2*E3</f>
        <v>72262.600000000006</v>
      </c>
      <c r="E3" s="149">
        <v>0.2</v>
      </c>
    </row>
    <row r="4" spans="1:5" s="147" customFormat="1" ht="14" x14ac:dyDescent="0.3">
      <c r="A4" s="148" t="s">
        <v>129</v>
      </c>
      <c r="B4" s="145">
        <f>B2*C4</f>
        <v>151734.80000000002</v>
      </c>
      <c r="C4" s="149">
        <v>0.4</v>
      </c>
      <c r="D4" s="145">
        <f>D2*E4</f>
        <v>144525.20000000001</v>
      </c>
      <c r="E4" s="149">
        <v>0.4</v>
      </c>
    </row>
    <row r="5" spans="1:5" s="147" customFormat="1" ht="14.5" thickBot="1" x14ac:dyDescent="0.35">
      <c r="A5" s="150" t="s">
        <v>130</v>
      </c>
      <c r="B5" s="151">
        <f>B2*C5</f>
        <v>151734.80000000002</v>
      </c>
      <c r="C5" s="152">
        <v>0.4</v>
      </c>
      <c r="D5" s="151">
        <f>D2*E5</f>
        <v>144525.20000000001</v>
      </c>
      <c r="E5" s="152">
        <v>0.4</v>
      </c>
    </row>
    <row r="6" spans="1:5" s="147" customFormat="1" ht="14.5" thickBot="1" x14ac:dyDescent="0.35"/>
    <row r="7" spans="1:5" s="147" customFormat="1" ht="14.5" thickBot="1" x14ac:dyDescent="0.35">
      <c r="B7" s="358" t="s">
        <v>130</v>
      </c>
      <c r="C7" s="359"/>
    </row>
    <row r="8" spans="1:5" s="147" customFormat="1" ht="14" x14ac:dyDescent="0.3">
      <c r="B8" s="145">
        <v>151735</v>
      </c>
      <c r="C8" s="146"/>
    </row>
    <row r="9" spans="1:5" x14ac:dyDescent="0.35">
      <c r="B9" s="145">
        <f>B8*C9</f>
        <v>45520.5</v>
      </c>
      <c r="C9" s="149">
        <v>0.3</v>
      </c>
    </row>
    <row r="10" spans="1:5" ht="16" thickBot="1" x14ac:dyDescent="0.4">
      <c r="B10" s="151">
        <f>B8*C10</f>
        <v>106214.5</v>
      </c>
      <c r="C10" s="152">
        <v>0.7</v>
      </c>
    </row>
  </sheetData>
  <mergeCells count="3">
    <mergeCell ref="B1:C1"/>
    <mergeCell ref="D1:E1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85C9-279A-E84F-8AA8-B93B9F12844C}">
  <dimension ref="A1:AF67"/>
  <sheetViews>
    <sheetView topLeftCell="A8" zoomScaleNormal="100" workbookViewId="0">
      <pane xSplit="5" ySplit="2" topLeftCell="T10" activePane="bottomRight" state="frozen"/>
      <selection activeCell="A8" sqref="A8"/>
      <selection pane="topRight" activeCell="F8" sqref="F8"/>
      <selection pane="bottomLeft" activeCell="A10" sqref="A10"/>
      <selection pane="bottomRight" activeCell="AF14" sqref="AF14"/>
    </sheetView>
  </sheetViews>
  <sheetFormatPr defaultColWidth="9.1640625" defaultRowHeight="13" x14ac:dyDescent="0.3"/>
  <cols>
    <col min="1" max="1" width="5.5" style="153" customWidth="1"/>
    <col min="2" max="2" width="17.83203125" style="155" customWidth="1"/>
    <col min="3" max="3" width="37.6640625" style="155" customWidth="1"/>
    <col min="4" max="4" width="8.5" style="155" customWidth="1"/>
    <col min="5" max="5" width="13.33203125" style="155" customWidth="1"/>
    <col min="6" max="8" width="6.1640625" style="155" customWidth="1"/>
    <col min="9" max="10" width="7.1640625" style="155" customWidth="1"/>
    <col min="11" max="11" width="7.33203125" style="155" customWidth="1"/>
    <col min="12" max="14" width="7" style="155" customWidth="1"/>
    <col min="15" max="17" width="8.5" style="155" customWidth="1"/>
    <col min="18" max="18" width="7.5" style="155" customWidth="1"/>
    <col min="19" max="20" width="7.83203125" style="155" customWidth="1"/>
    <col min="21" max="23" width="8" style="155" customWidth="1"/>
    <col min="24" max="24" width="7.5" style="155" customWidth="1"/>
    <col min="25" max="28" width="7.6640625" style="155" customWidth="1"/>
    <col min="29" max="29" width="10.1640625" style="155" customWidth="1"/>
    <col min="30" max="16384" width="9.1640625" style="155"/>
  </cols>
  <sheetData>
    <row r="1" spans="1:32" ht="41.25" hidden="1" customHeight="1" x14ac:dyDescent="0.35">
      <c r="B1" s="154"/>
      <c r="C1" s="154"/>
      <c r="D1" s="154"/>
      <c r="E1" s="154"/>
      <c r="F1" s="360" t="s">
        <v>132</v>
      </c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154"/>
      <c r="V1" s="154"/>
      <c r="W1" s="154"/>
      <c r="X1" s="361" t="s">
        <v>133</v>
      </c>
      <c r="Y1" s="361"/>
      <c r="Z1" s="361"/>
      <c r="AA1" s="361"/>
      <c r="AB1" s="361"/>
      <c r="AC1" s="361"/>
    </row>
    <row r="2" spans="1:32" s="158" customFormat="1" ht="16" hidden="1" thickBot="1" x14ac:dyDescent="0.4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32" s="158" customFormat="1" ht="16" hidden="1" thickBot="1" x14ac:dyDescent="0.4">
      <c r="A3" s="157" t="s">
        <v>134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</row>
    <row r="4" spans="1:32" s="158" customFormat="1" ht="16" hidden="1" thickBot="1" x14ac:dyDescent="0.4">
      <c r="A4" s="161" t="s">
        <v>135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60"/>
      <c r="P4" s="160"/>
      <c r="Q4" s="160"/>
      <c r="R4" s="160"/>
      <c r="S4" s="160"/>
      <c r="T4" s="160"/>
      <c r="U4" s="160"/>
      <c r="V4" s="160"/>
      <c r="W4" s="160"/>
    </row>
    <row r="5" spans="1:32" s="158" customFormat="1" ht="16" hidden="1" thickBot="1" x14ac:dyDescent="0.4">
      <c r="A5" s="162" t="s">
        <v>136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60"/>
      <c r="P5" s="160"/>
      <c r="Q5" s="160"/>
      <c r="R5" s="160"/>
      <c r="S5" s="160"/>
      <c r="T5" s="160"/>
      <c r="U5" s="160"/>
      <c r="V5" s="160"/>
      <c r="W5" s="160"/>
    </row>
    <row r="6" spans="1:32" s="158" customFormat="1" ht="16" hidden="1" thickBot="1" x14ac:dyDescent="0.4">
      <c r="A6" s="163" t="s">
        <v>137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4"/>
      <c r="P6" s="164"/>
      <c r="Q6" s="164"/>
      <c r="R6" s="164"/>
      <c r="S6" s="159"/>
      <c r="T6" s="160"/>
      <c r="U6" s="160"/>
      <c r="V6" s="160"/>
      <c r="W6" s="160"/>
    </row>
    <row r="7" spans="1:32" s="158" customFormat="1" ht="16" hidden="1" thickBot="1" x14ac:dyDescent="0.4">
      <c r="A7" s="156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6"/>
      <c r="Z7" s="166"/>
      <c r="AA7" s="166"/>
      <c r="AB7" s="166"/>
      <c r="AC7" s="166"/>
    </row>
    <row r="8" spans="1:32" s="158" customFormat="1" ht="15.5" x14ac:dyDescent="0.35">
      <c r="A8" s="167"/>
      <c r="B8" s="168"/>
      <c r="C8" s="169"/>
      <c r="D8" s="169"/>
      <c r="E8" s="170"/>
      <c r="F8" s="171">
        <v>1110</v>
      </c>
      <c r="G8" s="171">
        <v>1140</v>
      </c>
      <c r="H8" s="171">
        <v>1150</v>
      </c>
      <c r="I8" s="171">
        <v>1210</v>
      </c>
      <c r="J8" s="171">
        <v>1220</v>
      </c>
      <c r="K8" s="171">
        <v>2110</v>
      </c>
      <c r="L8" s="172">
        <v>2120</v>
      </c>
      <c r="M8" s="172">
        <v>2210</v>
      </c>
      <c r="N8" s="172">
        <v>2220</v>
      </c>
      <c r="O8" s="172">
        <v>2230</v>
      </c>
      <c r="P8" s="172">
        <v>2240</v>
      </c>
      <c r="Q8" s="172">
        <v>2250</v>
      </c>
      <c r="R8" s="172">
        <v>2260</v>
      </c>
      <c r="S8" s="171">
        <v>2310</v>
      </c>
      <c r="T8" s="171">
        <v>2320</v>
      </c>
      <c r="U8" s="171">
        <v>2340</v>
      </c>
      <c r="V8" s="171">
        <v>2350</v>
      </c>
      <c r="W8" s="171">
        <v>2360</v>
      </c>
      <c r="X8" s="171">
        <v>2390</v>
      </c>
      <c r="Y8" s="173">
        <v>5110</v>
      </c>
      <c r="Z8" s="173">
        <v>5120</v>
      </c>
      <c r="AA8" s="173">
        <v>5220</v>
      </c>
      <c r="AB8" s="173">
        <v>5230</v>
      </c>
      <c r="AC8" s="174"/>
    </row>
    <row r="9" spans="1:32" s="158" customFormat="1" ht="178.5" customHeight="1" x14ac:dyDescent="0.35">
      <c r="A9" s="175" t="s">
        <v>138</v>
      </c>
      <c r="B9" s="176" t="s">
        <v>139</v>
      </c>
      <c r="C9" s="176" t="s">
        <v>140</v>
      </c>
      <c r="D9" s="176" t="s">
        <v>141</v>
      </c>
      <c r="E9" s="177" t="s">
        <v>142</v>
      </c>
      <c r="F9" s="178" t="s">
        <v>143</v>
      </c>
      <c r="G9" s="178" t="s">
        <v>144</v>
      </c>
      <c r="H9" s="178" t="s">
        <v>145</v>
      </c>
      <c r="I9" s="179" t="s">
        <v>146</v>
      </c>
      <c r="J9" s="179" t="s">
        <v>147</v>
      </c>
      <c r="K9" s="180" t="s">
        <v>148</v>
      </c>
      <c r="L9" s="180" t="s">
        <v>149</v>
      </c>
      <c r="M9" s="180" t="s">
        <v>150</v>
      </c>
      <c r="N9" s="180" t="s">
        <v>151</v>
      </c>
      <c r="O9" s="180" t="s">
        <v>152</v>
      </c>
      <c r="P9" s="180" t="s">
        <v>153</v>
      </c>
      <c r="Q9" s="180" t="s">
        <v>154</v>
      </c>
      <c r="R9" s="180" t="s">
        <v>155</v>
      </c>
      <c r="S9" s="180" t="s">
        <v>156</v>
      </c>
      <c r="T9" s="180" t="s">
        <v>157</v>
      </c>
      <c r="U9" s="180" t="s">
        <v>158</v>
      </c>
      <c r="V9" s="180" t="s">
        <v>159</v>
      </c>
      <c r="W9" s="180" t="s">
        <v>160</v>
      </c>
      <c r="X9" s="180" t="s">
        <v>161</v>
      </c>
      <c r="Y9" s="180" t="s">
        <v>162</v>
      </c>
      <c r="Z9" s="180" t="s">
        <v>163</v>
      </c>
      <c r="AA9" s="180" t="s">
        <v>164</v>
      </c>
      <c r="AB9" s="180" t="s">
        <v>165</v>
      </c>
      <c r="AC9" s="181" t="s">
        <v>166</v>
      </c>
    </row>
    <row r="10" spans="1:32" s="158" customFormat="1" ht="15.5" x14ac:dyDescent="0.35">
      <c r="A10" s="183" t="s">
        <v>167</v>
      </c>
      <c r="B10" s="184" t="s">
        <v>168</v>
      </c>
      <c r="C10" s="185" t="s">
        <v>169</v>
      </c>
      <c r="D10" s="186">
        <v>1</v>
      </c>
      <c r="E10" s="186"/>
      <c r="F10" s="187">
        <f>2322*10</f>
        <v>23220</v>
      </c>
      <c r="G10" s="187"/>
      <c r="H10" s="187"/>
      <c r="I10" s="188">
        <f>548*10</f>
        <v>5480</v>
      </c>
      <c r="J10" s="188"/>
      <c r="K10" s="188"/>
      <c r="L10" s="189"/>
      <c r="M10" s="189"/>
      <c r="N10" s="189"/>
      <c r="O10" s="189"/>
      <c r="P10" s="189"/>
      <c r="Q10" s="189"/>
      <c r="R10" s="189"/>
      <c r="S10" s="190"/>
      <c r="T10" s="190"/>
      <c r="U10" s="190"/>
      <c r="V10" s="190"/>
      <c r="W10" s="190"/>
      <c r="X10" s="190"/>
      <c r="Y10" s="190"/>
      <c r="Z10" s="191"/>
      <c r="AA10" s="191"/>
      <c r="AB10" s="191"/>
      <c r="AC10" s="192">
        <f t="shared" ref="AC10:AC56" si="0">SUM(F10:AB10)</f>
        <v>28700</v>
      </c>
    </row>
    <row r="11" spans="1:32" s="158" customFormat="1" ht="15.5" x14ac:dyDescent="0.35">
      <c r="A11" s="183" t="s">
        <v>170</v>
      </c>
      <c r="B11" s="184" t="s">
        <v>168</v>
      </c>
      <c r="C11" s="185" t="s">
        <v>171</v>
      </c>
      <c r="D11" s="186">
        <v>1</v>
      </c>
      <c r="E11" s="186"/>
      <c r="F11" s="187">
        <f>2322*10</f>
        <v>23220</v>
      </c>
      <c r="G11" s="187"/>
      <c r="H11" s="187"/>
      <c r="I11" s="188">
        <f>548*10</f>
        <v>5480</v>
      </c>
      <c r="J11" s="188"/>
      <c r="K11" s="188"/>
      <c r="L11" s="188"/>
      <c r="M11" s="188"/>
      <c r="N11" s="188"/>
      <c r="O11" s="188"/>
      <c r="P11" s="188"/>
      <c r="Q11" s="188"/>
      <c r="R11" s="188"/>
      <c r="S11" s="193"/>
      <c r="T11" s="193"/>
      <c r="U11" s="193"/>
      <c r="V11" s="193"/>
      <c r="W11" s="193"/>
      <c r="X11" s="193"/>
      <c r="Y11" s="193"/>
      <c r="Z11" s="194"/>
      <c r="AA11" s="194"/>
      <c r="AB11" s="194"/>
      <c r="AC11" s="192">
        <f t="shared" si="0"/>
        <v>28700</v>
      </c>
    </row>
    <row r="12" spans="1:32" s="158" customFormat="1" ht="15.5" x14ac:dyDescent="0.35">
      <c r="A12" s="183" t="s">
        <v>172</v>
      </c>
      <c r="B12" s="184" t="s">
        <v>168</v>
      </c>
      <c r="C12" s="185" t="s">
        <v>173</v>
      </c>
      <c r="D12" s="186"/>
      <c r="E12" s="186"/>
      <c r="F12" s="187"/>
      <c r="G12" s="187"/>
      <c r="H12" s="187"/>
      <c r="I12" s="188"/>
      <c r="J12" s="188"/>
      <c r="K12" s="188"/>
      <c r="L12" s="188"/>
      <c r="M12" s="188"/>
      <c r="N12" s="188"/>
      <c r="O12" s="188">
        <f>800*10</f>
        <v>8000</v>
      </c>
      <c r="P12" s="188"/>
      <c r="Q12" s="188"/>
      <c r="R12" s="188"/>
      <c r="S12" s="193"/>
      <c r="T12" s="193"/>
      <c r="U12" s="193"/>
      <c r="V12" s="193"/>
      <c r="W12" s="193"/>
      <c r="X12" s="193"/>
      <c r="Y12" s="193"/>
      <c r="Z12" s="194"/>
      <c r="AA12" s="194"/>
      <c r="AB12" s="194"/>
      <c r="AC12" s="192">
        <f t="shared" si="0"/>
        <v>8000</v>
      </c>
    </row>
    <row r="13" spans="1:32" s="158" customFormat="1" ht="16" thickBot="1" x14ac:dyDescent="0.4">
      <c r="A13" s="183" t="s">
        <v>174</v>
      </c>
      <c r="B13" s="184" t="s">
        <v>168</v>
      </c>
      <c r="C13" s="195" t="s">
        <v>175</v>
      </c>
      <c r="D13" s="186"/>
      <c r="E13" s="186"/>
      <c r="F13" s="187"/>
      <c r="G13" s="187"/>
      <c r="H13" s="187"/>
      <c r="I13" s="188"/>
      <c r="J13" s="188"/>
      <c r="K13" s="188"/>
      <c r="L13" s="188"/>
      <c r="M13" s="188"/>
      <c r="N13" s="188"/>
      <c r="O13" s="188"/>
      <c r="P13" s="188"/>
      <c r="Q13" s="188"/>
      <c r="R13" s="188">
        <f>140*10</f>
        <v>1400</v>
      </c>
      <c r="S13" s="193"/>
      <c r="T13" s="193"/>
      <c r="U13" s="193"/>
      <c r="V13" s="193"/>
      <c r="W13" s="193"/>
      <c r="X13" s="193"/>
      <c r="Y13" s="193"/>
      <c r="Z13" s="194"/>
      <c r="AA13" s="194"/>
      <c r="AB13" s="194"/>
      <c r="AC13" s="192">
        <f t="shared" si="0"/>
        <v>1400</v>
      </c>
    </row>
    <row r="14" spans="1:32" s="158" customFormat="1" ht="16" thickBot="1" x14ac:dyDescent="0.4">
      <c r="A14" s="183" t="s">
        <v>176</v>
      </c>
      <c r="B14" s="184" t="s">
        <v>168</v>
      </c>
      <c r="C14" s="196" t="s">
        <v>177</v>
      </c>
      <c r="D14" s="197"/>
      <c r="E14" s="197"/>
      <c r="F14" s="188"/>
      <c r="G14" s="188"/>
      <c r="H14" s="188"/>
      <c r="I14" s="188"/>
      <c r="J14" s="188"/>
      <c r="K14" s="188"/>
      <c r="L14" s="188"/>
      <c r="M14" s="188">
        <v>800</v>
      </c>
      <c r="N14" s="188">
        <f>110*10</f>
        <v>1100</v>
      </c>
      <c r="O14" s="188"/>
      <c r="P14" s="188"/>
      <c r="Q14" s="188"/>
      <c r="R14" s="188">
        <f>225*10</f>
        <v>2250</v>
      </c>
      <c r="S14" s="188">
        <v>1050</v>
      </c>
      <c r="T14" s="188"/>
      <c r="U14" s="188"/>
      <c r="V14" s="188"/>
      <c r="W14" s="188"/>
      <c r="X14" s="188"/>
      <c r="Y14" s="188"/>
      <c r="Z14" s="198"/>
      <c r="AA14" s="198"/>
      <c r="AB14" s="198"/>
      <c r="AC14" s="192">
        <f t="shared" si="0"/>
        <v>5200</v>
      </c>
      <c r="AD14" s="220">
        <f>SUM(AC10:AC14)</f>
        <v>72000</v>
      </c>
      <c r="AE14" s="220">
        <v>75867.400000000009</v>
      </c>
      <c r="AF14" s="220">
        <f>AE14-AD14</f>
        <v>3867.4000000000087</v>
      </c>
    </row>
    <row r="15" spans="1:32" s="158" customFormat="1" ht="18" customHeight="1" x14ac:dyDescent="0.35">
      <c r="A15" s="183"/>
      <c r="B15" s="184" t="s">
        <v>178</v>
      </c>
      <c r="C15" s="185" t="s">
        <v>217</v>
      </c>
      <c r="D15" s="186">
        <v>400</v>
      </c>
      <c r="E15" s="197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>
        <v>12000</v>
      </c>
      <c r="T15" s="193"/>
      <c r="U15" s="193"/>
      <c r="V15" s="193"/>
      <c r="W15" s="193"/>
      <c r="X15" s="193"/>
      <c r="Y15" s="193"/>
      <c r="Z15" s="194"/>
      <c r="AA15" s="194"/>
      <c r="AB15" s="198"/>
      <c r="AC15" s="192">
        <f t="shared" si="0"/>
        <v>12000</v>
      </c>
    </row>
    <row r="16" spans="1:32" s="158" customFormat="1" ht="15.5" x14ac:dyDescent="0.35">
      <c r="A16" s="183"/>
      <c r="B16" s="184" t="s">
        <v>206</v>
      </c>
      <c r="C16" s="185" t="s">
        <v>179</v>
      </c>
      <c r="D16" s="186">
        <v>100</v>
      </c>
      <c r="E16" s="186" t="s">
        <v>190</v>
      </c>
      <c r="F16" s="187"/>
      <c r="G16" s="187"/>
      <c r="H16" s="187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93"/>
      <c r="U16" s="193"/>
      <c r="V16" s="193"/>
      <c r="W16" s="193"/>
      <c r="X16" s="193"/>
      <c r="Y16" s="193"/>
      <c r="Z16" s="194"/>
      <c r="AA16" s="194"/>
      <c r="AB16" s="198"/>
      <c r="AC16" s="192">
        <f t="shared" si="0"/>
        <v>0</v>
      </c>
    </row>
    <row r="17" spans="1:29" s="158" customFormat="1" ht="15.5" x14ac:dyDescent="0.35">
      <c r="A17" s="183"/>
      <c r="B17" s="184" t="s">
        <v>206</v>
      </c>
      <c r="C17" s="185" t="s">
        <v>181</v>
      </c>
      <c r="D17" s="186">
        <v>300</v>
      </c>
      <c r="E17" s="186" t="s">
        <v>190</v>
      </c>
      <c r="F17" s="187"/>
      <c r="G17" s="187"/>
      <c r="H17" s="187"/>
      <c r="I17" s="188"/>
      <c r="J17" s="188"/>
      <c r="K17" s="188">
        <v>250</v>
      </c>
      <c r="L17" s="188"/>
      <c r="M17" s="188"/>
      <c r="N17" s="188"/>
      <c r="O17" s="188">
        <v>750</v>
      </c>
      <c r="P17" s="188"/>
      <c r="Q17" s="188"/>
      <c r="R17" s="188"/>
      <c r="S17" s="200">
        <v>750</v>
      </c>
      <c r="T17" s="193"/>
      <c r="U17" s="193"/>
      <c r="V17" s="193"/>
      <c r="W17" s="193"/>
      <c r="X17" s="193"/>
      <c r="Y17" s="193"/>
      <c r="Z17" s="194"/>
      <c r="AA17" s="194"/>
      <c r="AB17" s="198"/>
      <c r="AC17" s="192">
        <f t="shared" si="0"/>
        <v>1750</v>
      </c>
    </row>
    <row r="18" spans="1:29" s="158" customFormat="1" ht="15.5" x14ac:dyDescent="0.35">
      <c r="A18" s="183"/>
      <c r="B18" s="184" t="s">
        <v>207</v>
      </c>
      <c r="C18" s="185" t="s">
        <v>179</v>
      </c>
      <c r="D18" s="186">
        <v>100</v>
      </c>
      <c r="E18" s="186" t="s">
        <v>183</v>
      </c>
      <c r="F18" s="187"/>
      <c r="G18" s="187"/>
      <c r="H18" s="187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93"/>
      <c r="U18" s="193"/>
      <c r="V18" s="193"/>
      <c r="W18" s="193"/>
      <c r="X18" s="193"/>
      <c r="Y18" s="193"/>
      <c r="Z18" s="194"/>
      <c r="AA18" s="194"/>
      <c r="AB18" s="198"/>
      <c r="AC18" s="192">
        <f t="shared" si="0"/>
        <v>0</v>
      </c>
    </row>
    <row r="19" spans="1:29" s="158" customFormat="1" ht="15.5" x14ac:dyDescent="0.35">
      <c r="A19" s="183"/>
      <c r="B19" s="184" t="s">
        <v>207</v>
      </c>
      <c r="C19" s="185" t="s">
        <v>181</v>
      </c>
      <c r="D19" s="186">
        <v>300</v>
      </c>
      <c r="E19" s="186" t="s">
        <v>183</v>
      </c>
      <c r="F19" s="187"/>
      <c r="G19" s="187"/>
      <c r="H19" s="187"/>
      <c r="I19" s="188"/>
      <c r="J19" s="188"/>
      <c r="K19" s="188">
        <v>250</v>
      </c>
      <c r="L19" s="188"/>
      <c r="M19" s="188"/>
      <c r="N19" s="188"/>
      <c r="O19" s="188">
        <v>750</v>
      </c>
      <c r="P19" s="188"/>
      <c r="Q19" s="188"/>
      <c r="R19" s="188"/>
      <c r="S19" s="200">
        <v>750</v>
      </c>
      <c r="T19" s="193"/>
      <c r="U19" s="193"/>
      <c r="V19" s="193"/>
      <c r="W19" s="193"/>
      <c r="X19" s="193"/>
      <c r="Y19" s="193"/>
      <c r="Z19" s="194"/>
      <c r="AA19" s="194"/>
      <c r="AB19" s="198"/>
      <c r="AC19" s="192">
        <f t="shared" si="0"/>
        <v>1750</v>
      </c>
    </row>
    <row r="20" spans="1:29" s="158" customFormat="1" ht="15.5" x14ac:dyDescent="0.35">
      <c r="A20" s="183"/>
      <c r="B20" s="184" t="s">
        <v>208</v>
      </c>
      <c r="C20" s="185" t="s">
        <v>209</v>
      </c>
      <c r="D20" s="186">
        <v>100</v>
      </c>
      <c r="E20" s="197" t="s">
        <v>187</v>
      </c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98"/>
      <c r="AA20" s="198"/>
      <c r="AB20" s="198"/>
      <c r="AC20" s="192">
        <f t="shared" si="0"/>
        <v>0</v>
      </c>
    </row>
    <row r="21" spans="1:29" s="158" customFormat="1" ht="15.5" x14ac:dyDescent="0.35">
      <c r="A21" s="183"/>
      <c r="B21" s="184" t="s">
        <v>208</v>
      </c>
      <c r="C21" s="185" t="s">
        <v>209</v>
      </c>
      <c r="D21" s="186">
        <v>320</v>
      </c>
      <c r="E21" s="197" t="s">
        <v>187</v>
      </c>
      <c r="F21" s="188"/>
      <c r="G21" s="188"/>
      <c r="H21" s="188"/>
      <c r="I21" s="188"/>
      <c r="J21" s="188"/>
      <c r="K21" s="188">
        <v>250</v>
      </c>
      <c r="L21" s="188"/>
      <c r="M21" s="188"/>
      <c r="N21" s="188"/>
      <c r="O21" s="188">
        <v>2500</v>
      </c>
      <c r="P21" s="188"/>
      <c r="Q21" s="188"/>
      <c r="R21" s="188"/>
      <c r="S21" s="188">
        <v>1000</v>
      </c>
      <c r="T21" s="188"/>
      <c r="U21" s="188"/>
      <c r="V21" s="188"/>
      <c r="W21" s="188"/>
      <c r="X21" s="188"/>
      <c r="Y21" s="188"/>
      <c r="Z21" s="198"/>
      <c r="AA21" s="198"/>
      <c r="AB21" s="198"/>
      <c r="AC21" s="192">
        <f t="shared" si="0"/>
        <v>3750</v>
      </c>
    </row>
    <row r="22" spans="1:29" s="158" customFormat="1" ht="15.5" x14ac:dyDescent="0.35">
      <c r="A22" s="183"/>
      <c r="B22" s="184" t="s">
        <v>210</v>
      </c>
      <c r="C22" s="185" t="s">
        <v>179</v>
      </c>
      <c r="D22" s="186">
        <v>100</v>
      </c>
      <c r="E22" s="197" t="s">
        <v>188</v>
      </c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98"/>
      <c r="AA22" s="198"/>
      <c r="AB22" s="198"/>
      <c r="AC22" s="192">
        <f t="shared" si="0"/>
        <v>0</v>
      </c>
    </row>
    <row r="23" spans="1:29" s="158" customFormat="1" ht="15.5" x14ac:dyDescent="0.35">
      <c r="A23" s="183"/>
      <c r="B23" s="184" t="s">
        <v>210</v>
      </c>
      <c r="C23" s="185" t="s">
        <v>181</v>
      </c>
      <c r="D23" s="186">
        <v>300</v>
      </c>
      <c r="E23" s="197" t="s">
        <v>188</v>
      </c>
      <c r="F23" s="188"/>
      <c r="G23" s="188"/>
      <c r="H23" s="188"/>
      <c r="I23" s="188"/>
      <c r="J23" s="188"/>
      <c r="K23" s="188">
        <v>250</v>
      </c>
      <c r="L23" s="188"/>
      <c r="M23" s="188"/>
      <c r="N23" s="188"/>
      <c r="O23" s="188">
        <v>750</v>
      </c>
      <c r="P23" s="188"/>
      <c r="Q23" s="188"/>
      <c r="R23" s="188"/>
      <c r="S23" s="200">
        <v>750</v>
      </c>
      <c r="T23" s="188"/>
      <c r="U23" s="188"/>
      <c r="V23" s="188"/>
      <c r="W23" s="188"/>
      <c r="X23" s="188"/>
      <c r="Y23" s="188"/>
      <c r="Z23" s="198"/>
      <c r="AA23" s="198"/>
      <c r="AB23" s="198"/>
      <c r="AC23" s="192">
        <f t="shared" si="0"/>
        <v>1750</v>
      </c>
    </row>
    <row r="24" spans="1:29" s="158" customFormat="1" ht="15.5" x14ac:dyDescent="0.35">
      <c r="A24" s="183"/>
      <c r="B24" s="184" t="s">
        <v>211</v>
      </c>
      <c r="C24" s="185" t="s">
        <v>179</v>
      </c>
      <c r="D24" s="186">
        <v>50</v>
      </c>
      <c r="E24" s="197" t="s">
        <v>182</v>
      </c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200"/>
      <c r="T24" s="188"/>
      <c r="U24" s="188"/>
      <c r="V24" s="188"/>
      <c r="W24" s="188"/>
      <c r="X24" s="188"/>
      <c r="Y24" s="188"/>
      <c r="Z24" s="198"/>
      <c r="AA24" s="198"/>
      <c r="AB24" s="198"/>
      <c r="AC24" s="192">
        <f t="shared" si="0"/>
        <v>0</v>
      </c>
    </row>
    <row r="25" spans="1:29" s="158" customFormat="1" ht="15.5" x14ac:dyDescent="0.35">
      <c r="A25" s="183"/>
      <c r="B25" s="184" t="s">
        <v>211</v>
      </c>
      <c r="C25" s="185" t="s">
        <v>181</v>
      </c>
      <c r="D25" s="186">
        <v>250</v>
      </c>
      <c r="E25" s="197" t="s">
        <v>182</v>
      </c>
      <c r="F25" s="188"/>
      <c r="G25" s="188"/>
      <c r="H25" s="188"/>
      <c r="I25" s="188"/>
      <c r="J25" s="188"/>
      <c r="K25" s="188">
        <v>250</v>
      </c>
      <c r="L25" s="188"/>
      <c r="M25" s="188"/>
      <c r="N25" s="188"/>
      <c r="O25" s="188">
        <v>750</v>
      </c>
      <c r="P25" s="188"/>
      <c r="Q25" s="188"/>
      <c r="R25" s="188"/>
      <c r="S25" s="200">
        <v>750</v>
      </c>
      <c r="T25" s="188"/>
      <c r="U25" s="188"/>
      <c r="V25" s="188"/>
      <c r="W25" s="188"/>
      <c r="X25" s="188"/>
      <c r="Y25" s="188"/>
      <c r="Z25" s="198"/>
      <c r="AA25" s="198"/>
      <c r="AB25" s="198"/>
      <c r="AC25" s="192">
        <f t="shared" si="0"/>
        <v>1750</v>
      </c>
    </row>
    <row r="26" spans="1:29" s="158" customFormat="1" ht="15.5" x14ac:dyDescent="0.35">
      <c r="A26" s="183"/>
      <c r="B26" s="184" t="s">
        <v>212</v>
      </c>
      <c r="C26" s="185" t="s">
        <v>185</v>
      </c>
      <c r="D26" s="186">
        <v>70</v>
      </c>
      <c r="E26" s="197" t="s">
        <v>180</v>
      </c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98"/>
      <c r="AA26" s="198"/>
      <c r="AB26" s="198"/>
      <c r="AC26" s="192">
        <f t="shared" si="0"/>
        <v>0</v>
      </c>
    </row>
    <row r="27" spans="1:29" s="158" customFormat="1" ht="15.5" x14ac:dyDescent="0.35">
      <c r="A27" s="183"/>
      <c r="B27" s="184" t="s">
        <v>212</v>
      </c>
      <c r="C27" s="185" t="s">
        <v>186</v>
      </c>
      <c r="D27" s="186">
        <v>250</v>
      </c>
      <c r="E27" s="197" t="s">
        <v>180</v>
      </c>
      <c r="F27" s="188"/>
      <c r="G27" s="188"/>
      <c r="H27" s="188"/>
      <c r="I27" s="188"/>
      <c r="J27" s="188"/>
      <c r="K27" s="188">
        <v>500</v>
      </c>
      <c r="L27" s="188"/>
      <c r="M27" s="188"/>
      <c r="N27" s="188"/>
      <c r="O27" s="188">
        <v>2500</v>
      </c>
      <c r="P27" s="188"/>
      <c r="Q27" s="188"/>
      <c r="R27" s="188"/>
      <c r="S27" s="188">
        <v>2500</v>
      </c>
      <c r="T27" s="188"/>
      <c r="U27" s="188"/>
      <c r="V27" s="188"/>
      <c r="W27" s="188"/>
      <c r="X27" s="188"/>
      <c r="Y27" s="188"/>
      <c r="Z27" s="198"/>
      <c r="AA27" s="198"/>
      <c r="AB27" s="198"/>
      <c r="AC27" s="192">
        <f t="shared" si="0"/>
        <v>5500</v>
      </c>
    </row>
    <row r="28" spans="1:29" s="158" customFormat="1" ht="15.5" x14ac:dyDescent="0.35">
      <c r="A28" s="183"/>
      <c r="B28" s="184" t="s">
        <v>218</v>
      </c>
      <c r="C28" s="185" t="s">
        <v>179</v>
      </c>
      <c r="D28" s="186">
        <v>50</v>
      </c>
      <c r="E28" s="197" t="s">
        <v>200</v>
      </c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98"/>
      <c r="AA28" s="198"/>
      <c r="AB28" s="198"/>
      <c r="AC28" s="192">
        <f t="shared" si="0"/>
        <v>0</v>
      </c>
    </row>
    <row r="29" spans="1:29" s="158" customFormat="1" ht="15.5" x14ac:dyDescent="0.35">
      <c r="A29" s="183"/>
      <c r="B29" s="184" t="s">
        <v>218</v>
      </c>
      <c r="C29" s="185" t="s">
        <v>181</v>
      </c>
      <c r="D29" s="186">
        <v>200</v>
      </c>
      <c r="E29" s="197" t="s">
        <v>200</v>
      </c>
      <c r="F29" s="188"/>
      <c r="G29" s="188"/>
      <c r="H29" s="188"/>
      <c r="I29" s="188"/>
      <c r="J29" s="188"/>
      <c r="K29" s="188">
        <v>250</v>
      </c>
      <c r="L29" s="188"/>
      <c r="M29" s="188"/>
      <c r="N29" s="188"/>
      <c r="O29" s="188">
        <v>750</v>
      </c>
      <c r="P29" s="188"/>
      <c r="Q29" s="188"/>
      <c r="R29" s="188"/>
      <c r="S29" s="188">
        <v>750</v>
      </c>
      <c r="T29" s="188"/>
      <c r="U29" s="188"/>
      <c r="V29" s="188"/>
      <c r="W29" s="188"/>
      <c r="X29" s="188"/>
      <c r="Y29" s="188"/>
      <c r="Z29" s="198"/>
      <c r="AA29" s="198"/>
      <c r="AB29" s="198"/>
      <c r="AC29" s="192">
        <f t="shared" si="0"/>
        <v>1750</v>
      </c>
    </row>
    <row r="30" spans="1:29" s="158" customFormat="1" ht="15.5" x14ac:dyDescent="0.35">
      <c r="A30" s="183"/>
      <c r="B30" s="197" t="s">
        <v>219</v>
      </c>
      <c r="C30" s="185" t="s">
        <v>179</v>
      </c>
      <c r="D30" s="186">
        <v>70</v>
      </c>
      <c r="E30" s="197" t="s">
        <v>220</v>
      </c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98"/>
      <c r="AA30" s="198"/>
      <c r="AB30" s="198"/>
      <c r="AC30" s="192">
        <f t="shared" si="0"/>
        <v>0</v>
      </c>
    </row>
    <row r="31" spans="1:29" s="158" customFormat="1" ht="15.5" x14ac:dyDescent="0.35">
      <c r="A31" s="183"/>
      <c r="B31" s="197" t="s">
        <v>219</v>
      </c>
      <c r="C31" s="185" t="s">
        <v>181</v>
      </c>
      <c r="D31" s="186">
        <v>250</v>
      </c>
      <c r="E31" s="197" t="s">
        <v>220</v>
      </c>
      <c r="F31" s="188"/>
      <c r="G31" s="188"/>
      <c r="H31" s="188"/>
      <c r="I31" s="188"/>
      <c r="J31" s="188"/>
      <c r="K31" s="188">
        <v>250</v>
      </c>
      <c r="L31" s="188"/>
      <c r="M31" s="188"/>
      <c r="N31" s="188"/>
      <c r="O31" s="188">
        <v>750</v>
      </c>
      <c r="P31" s="188"/>
      <c r="Q31" s="188"/>
      <c r="R31" s="188"/>
      <c r="S31" s="188">
        <v>750</v>
      </c>
      <c r="T31" s="188"/>
      <c r="U31" s="188"/>
      <c r="V31" s="188"/>
      <c r="W31" s="188"/>
      <c r="X31" s="188"/>
      <c r="Y31" s="188"/>
      <c r="Z31" s="198"/>
      <c r="AA31" s="198"/>
      <c r="AB31" s="198"/>
      <c r="AC31" s="192">
        <f t="shared" si="0"/>
        <v>1750</v>
      </c>
    </row>
    <row r="32" spans="1:29" s="158" customFormat="1" ht="15.5" x14ac:dyDescent="0.35">
      <c r="A32" s="183"/>
      <c r="B32" s="197" t="s">
        <v>221</v>
      </c>
      <c r="C32" s="185" t="s">
        <v>181</v>
      </c>
      <c r="D32" s="186">
        <v>200</v>
      </c>
      <c r="E32" s="197" t="s">
        <v>184</v>
      </c>
      <c r="F32" s="188"/>
      <c r="G32" s="188"/>
      <c r="H32" s="188"/>
      <c r="I32" s="188"/>
      <c r="J32" s="188"/>
      <c r="K32" s="188">
        <v>250</v>
      </c>
      <c r="L32" s="188"/>
      <c r="M32" s="188"/>
      <c r="N32" s="188"/>
      <c r="O32" s="188">
        <v>750</v>
      </c>
      <c r="P32" s="188"/>
      <c r="Q32" s="188"/>
      <c r="R32" s="188"/>
      <c r="S32" s="188">
        <v>750</v>
      </c>
      <c r="T32" s="188"/>
      <c r="U32" s="188"/>
      <c r="V32" s="188"/>
      <c r="W32" s="188"/>
      <c r="X32" s="188"/>
      <c r="Y32" s="188"/>
      <c r="Z32" s="198"/>
      <c r="AA32" s="198"/>
      <c r="AB32" s="198"/>
      <c r="AC32" s="192">
        <f t="shared" si="0"/>
        <v>1750</v>
      </c>
    </row>
    <row r="33" spans="1:32" s="158" customFormat="1" ht="15.5" x14ac:dyDescent="0.35">
      <c r="A33" s="183"/>
      <c r="B33" s="197" t="s">
        <v>223</v>
      </c>
      <c r="C33" s="185" t="s">
        <v>181</v>
      </c>
      <c r="D33" s="186">
        <v>200</v>
      </c>
      <c r="E33" s="197" t="s">
        <v>191</v>
      </c>
      <c r="F33" s="188"/>
      <c r="G33" s="188"/>
      <c r="H33" s="188"/>
      <c r="I33" s="188"/>
      <c r="J33" s="188"/>
      <c r="K33" s="188">
        <v>250</v>
      </c>
      <c r="L33" s="188"/>
      <c r="M33" s="188"/>
      <c r="N33" s="188"/>
      <c r="O33" s="188">
        <v>750</v>
      </c>
      <c r="P33" s="188"/>
      <c r="Q33" s="188"/>
      <c r="R33" s="188"/>
      <c r="S33" s="188">
        <v>750</v>
      </c>
      <c r="T33" s="188"/>
      <c r="U33" s="188"/>
      <c r="V33" s="188"/>
      <c r="W33" s="188"/>
      <c r="X33" s="188"/>
      <c r="Y33" s="188"/>
      <c r="Z33" s="198"/>
      <c r="AA33" s="198"/>
      <c r="AB33" s="198"/>
      <c r="AC33" s="192">
        <f t="shared" si="0"/>
        <v>1750</v>
      </c>
    </row>
    <row r="34" spans="1:32" s="158" customFormat="1" ht="15.5" x14ac:dyDescent="0.35">
      <c r="A34" s="183"/>
      <c r="B34" s="197" t="s">
        <v>222</v>
      </c>
      <c r="C34" s="185" t="s">
        <v>189</v>
      </c>
      <c r="D34" s="186">
        <v>50</v>
      </c>
      <c r="E34" s="197" t="s">
        <v>222</v>
      </c>
      <c r="F34" s="188"/>
      <c r="G34" s="188"/>
      <c r="H34" s="188"/>
      <c r="I34" s="188"/>
      <c r="J34" s="188"/>
      <c r="K34" s="188"/>
      <c r="L34" s="188"/>
      <c r="M34" s="188"/>
      <c r="N34" s="188"/>
      <c r="O34" s="188">
        <v>1000</v>
      </c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98"/>
      <c r="AA34" s="198"/>
      <c r="AB34" s="198"/>
      <c r="AC34" s="192">
        <f t="shared" si="0"/>
        <v>1000</v>
      </c>
    </row>
    <row r="35" spans="1:32" s="158" customFormat="1" ht="15.5" x14ac:dyDescent="0.35">
      <c r="A35" s="183"/>
      <c r="B35" s="197" t="s">
        <v>213</v>
      </c>
      <c r="C35" s="185" t="s">
        <v>199</v>
      </c>
      <c r="D35" s="186">
        <v>15</v>
      </c>
      <c r="E35" s="197" t="s">
        <v>214</v>
      </c>
      <c r="F35" s="188"/>
      <c r="G35" s="188"/>
      <c r="H35" s="188"/>
      <c r="I35" s="188"/>
      <c r="J35" s="188"/>
      <c r="K35" s="188"/>
      <c r="L35" s="188"/>
      <c r="M35" s="188"/>
      <c r="N35" s="188"/>
      <c r="O35" s="188">
        <v>1000</v>
      </c>
      <c r="P35" s="188"/>
      <c r="Q35" s="188"/>
      <c r="R35" s="188"/>
      <c r="S35" s="188">
        <v>500</v>
      </c>
      <c r="T35" s="188"/>
      <c r="U35" s="188"/>
      <c r="V35" s="188"/>
      <c r="W35" s="188"/>
      <c r="X35" s="188"/>
      <c r="Y35" s="188"/>
      <c r="Z35" s="198"/>
      <c r="AA35" s="198"/>
      <c r="AB35" s="198"/>
      <c r="AC35" s="192">
        <f t="shared" si="0"/>
        <v>1500</v>
      </c>
    </row>
    <row r="36" spans="1:32" s="158" customFormat="1" ht="16" thickBot="1" x14ac:dyDescent="0.4">
      <c r="A36" s="183"/>
      <c r="B36" s="184" t="s">
        <v>215</v>
      </c>
      <c r="C36" s="199" t="s">
        <v>216</v>
      </c>
      <c r="D36" s="197">
        <v>50</v>
      </c>
      <c r="E36" s="197" t="s">
        <v>214</v>
      </c>
      <c r="F36" s="188"/>
      <c r="G36" s="188"/>
      <c r="H36" s="188"/>
      <c r="I36" s="188"/>
      <c r="J36" s="188"/>
      <c r="K36" s="188">
        <v>500</v>
      </c>
      <c r="L36" s="188"/>
      <c r="M36" s="188"/>
      <c r="N36" s="188"/>
      <c r="O36" s="188">
        <v>1500</v>
      </c>
      <c r="P36" s="188"/>
      <c r="Q36" s="188"/>
      <c r="R36" s="188"/>
      <c r="S36" s="189"/>
      <c r="T36" s="189"/>
      <c r="U36" s="189"/>
      <c r="V36" s="189"/>
      <c r="W36" s="189"/>
      <c r="X36" s="189"/>
      <c r="Y36" s="189"/>
      <c r="Z36" s="222"/>
      <c r="AA36" s="222"/>
      <c r="AB36" s="222"/>
      <c r="AC36" s="192">
        <f t="shared" si="0"/>
        <v>2000</v>
      </c>
    </row>
    <row r="37" spans="1:32" s="158" customFormat="1" ht="16" thickBot="1" x14ac:dyDescent="0.4">
      <c r="A37" s="183"/>
      <c r="B37" s="184" t="s">
        <v>242</v>
      </c>
      <c r="C37" s="199" t="s">
        <v>423</v>
      </c>
      <c r="D37" s="197"/>
      <c r="E37" s="197"/>
      <c r="F37" s="188"/>
      <c r="G37" s="188"/>
      <c r="H37" s="188"/>
      <c r="I37" s="188"/>
      <c r="J37" s="188"/>
      <c r="K37" s="188"/>
      <c r="L37" s="188"/>
      <c r="M37" s="188"/>
      <c r="N37" s="188"/>
      <c r="O37" s="188">
        <v>3421</v>
      </c>
      <c r="P37" s="188"/>
      <c r="Q37" s="188"/>
      <c r="R37" s="188"/>
      <c r="S37" s="189">
        <v>2350</v>
      </c>
      <c r="T37" s="190"/>
      <c r="U37" s="190"/>
      <c r="V37" s="190"/>
      <c r="W37" s="190"/>
      <c r="X37" s="190"/>
      <c r="Y37" s="190"/>
      <c r="Z37" s="191"/>
      <c r="AA37" s="191"/>
      <c r="AB37" s="191"/>
      <c r="AC37" s="192">
        <f t="shared" si="0"/>
        <v>5771</v>
      </c>
      <c r="AD37" s="220">
        <f>SUM(AC15:AC37)</f>
        <v>45521</v>
      </c>
      <c r="AE37" s="220">
        <v>45521</v>
      </c>
      <c r="AF37" s="220">
        <f>AE37-AD37</f>
        <v>0</v>
      </c>
    </row>
    <row r="38" spans="1:32" s="158" customFormat="1" ht="15.5" x14ac:dyDescent="0.35">
      <c r="A38" s="183"/>
      <c r="B38" s="184" t="s">
        <v>227</v>
      </c>
      <c r="C38" s="199" t="s">
        <v>250</v>
      </c>
      <c r="D38" s="197">
        <v>50</v>
      </c>
      <c r="E38" s="197" t="s">
        <v>225</v>
      </c>
      <c r="F38" s="188"/>
      <c r="G38" s="188"/>
      <c r="H38" s="188"/>
      <c r="I38" s="188"/>
      <c r="J38" s="188"/>
      <c r="K38" s="188"/>
      <c r="L38" s="188">
        <v>500</v>
      </c>
      <c r="M38" s="188"/>
      <c r="N38" s="188"/>
      <c r="O38" s="188">
        <v>500</v>
      </c>
      <c r="P38" s="188"/>
      <c r="Q38" s="188"/>
      <c r="R38" s="188"/>
      <c r="S38" s="190"/>
      <c r="T38" s="190"/>
      <c r="U38" s="190"/>
      <c r="V38" s="190"/>
      <c r="W38" s="190"/>
      <c r="X38" s="190"/>
      <c r="Y38" s="190"/>
      <c r="Z38" s="191"/>
      <c r="AA38" s="191"/>
      <c r="AB38" s="191"/>
      <c r="AC38" s="192">
        <f t="shared" si="0"/>
        <v>1000</v>
      </c>
    </row>
    <row r="39" spans="1:32" s="158" customFormat="1" ht="15.5" x14ac:dyDescent="0.35">
      <c r="A39" s="183"/>
      <c r="B39" s="184" t="s">
        <v>228</v>
      </c>
      <c r="C39" s="199" t="s">
        <v>195</v>
      </c>
      <c r="D39" s="197">
        <v>50</v>
      </c>
      <c r="E39" s="197" t="s">
        <v>229</v>
      </c>
      <c r="F39" s="188"/>
      <c r="G39" s="188"/>
      <c r="H39" s="188"/>
      <c r="I39" s="188"/>
      <c r="J39" s="188"/>
      <c r="K39" s="188"/>
      <c r="L39" s="188">
        <v>2000</v>
      </c>
      <c r="M39" s="188"/>
      <c r="N39" s="188"/>
      <c r="O39" s="188">
        <v>500</v>
      </c>
      <c r="P39" s="188"/>
      <c r="Q39" s="188"/>
      <c r="R39" s="188"/>
      <c r="S39" s="193"/>
      <c r="T39" s="193"/>
      <c r="U39" s="193"/>
      <c r="V39" s="193"/>
      <c r="W39" s="193"/>
      <c r="X39" s="193"/>
      <c r="Y39" s="193"/>
      <c r="Z39" s="194"/>
      <c r="AA39" s="194"/>
      <c r="AB39" s="194"/>
      <c r="AC39" s="192">
        <f t="shared" si="0"/>
        <v>2500</v>
      </c>
    </row>
    <row r="40" spans="1:32" s="158" customFormat="1" ht="15.5" x14ac:dyDescent="0.35">
      <c r="A40" s="183"/>
      <c r="B40" s="184" t="s">
        <v>230</v>
      </c>
      <c r="C40" s="199" t="s">
        <v>196</v>
      </c>
      <c r="D40" s="197">
        <v>50</v>
      </c>
      <c r="E40" s="186" t="s">
        <v>231</v>
      </c>
      <c r="F40" s="187"/>
      <c r="G40" s="187"/>
      <c r="H40" s="187"/>
      <c r="I40" s="188"/>
      <c r="J40" s="188"/>
      <c r="K40" s="188"/>
      <c r="L40" s="188">
        <v>2000</v>
      </c>
      <c r="M40" s="188"/>
      <c r="N40" s="188"/>
      <c r="O40" s="188">
        <v>300</v>
      </c>
      <c r="P40" s="188"/>
      <c r="Q40" s="188"/>
      <c r="R40" s="188"/>
      <c r="S40" s="188"/>
      <c r="T40" s="193"/>
      <c r="U40" s="193"/>
      <c r="V40" s="193"/>
      <c r="W40" s="193"/>
      <c r="X40" s="193"/>
      <c r="Y40" s="193"/>
      <c r="Z40" s="194"/>
      <c r="AA40" s="194"/>
      <c r="AB40" s="194"/>
      <c r="AC40" s="192">
        <f t="shared" si="0"/>
        <v>2300</v>
      </c>
    </row>
    <row r="41" spans="1:32" s="158" customFormat="1" ht="15.5" x14ac:dyDescent="0.35">
      <c r="A41" s="183"/>
      <c r="B41" s="184" t="s">
        <v>232</v>
      </c>
      <c r="C41" s="199" t="s">
        <v>202</v>
      </c>
      <c r="D41" s="197">
        <v>50</v>
      </c>
      <c r="E41" s="186" t="s">
        <v>233</v>
      </c>
      <c r="F41" s="187"/>
      <c r="G41" s="187"/>
      <c r="H41" s="187"/>
      <c r="I41" s="188"/>
      <c r="J41" s="188"/>
      <c r="K41" s="188"/>
      <c r="L41" s="188">
        <v>250</v>
      </c>
      <c r="M41" s="188"/>
      <c r="N41" s="188"/>
      <c r="O41" s="188">
        <v>300</v>
      </c>
      <c r="P41" s="188"/>
      <c r="Q41" s="188"/>
      <c r="R41" s="188"/>
      <c r="S41" s="188"/>
      <c r="T41" s="193"/>
      <c r="U41" s="193"/>
      <c r="V41" s="193"/>
      <c r="W41" s="193"/>
      <c r="X41" s="193"/>
      <c r="Y41" s="193"/>
      <c r="Z41" s="194"/>
      <c r="AA41" s="194"/>
      <c r="AB41" s="194"/>
      <c r="AC41" s="192">
        <f t="shared" si="0"/>
        <v>550</v>
      </c>
    </row>
    <row r="42" spans="1:32" s="158" customFormat="1" ht="15.5" x14ac:dyDescent="0.35">
      <c r="A42" s="183"/>
      <c r="B42" s="184" t="s">
        <v>234</v>
      </c>
      <c r="C42" s="199" t="s">
        <v>251</v>
      </c>
      <c r="D42" s="197">
        <v>50</v>
      </c>
      <c r="E42" s="186" t="s">
        <v>235</v>
      </c>
      <c r="F42" s="187"/>
      <c r="G42" s="187"/>
      <c r="H42" s="187"/>
      <c r="I42" s="188"/>
      <c r="J42" s="188"/>
      <c r="K42" s="188"/>
      <c r="L42" s="188">
        <v>250</v>
      </c>
      <c r="M42" s="188"/>
      <c r="N42" s="188"/>
      <c r="O42" s="188">
        <v>300</v>
      </c>
      <c r="P42" s="188"/>
      <c r="Q42" s="188"/>
      <c r="R42" s="188"/>
      <c r="S42" s="188"/>
      <c r="T42" s="193"/>
      <c r="U42" s="193"/>
      <c r="V42" s="193"/>
      <c r="W42" s="193"/>
      <c r="X42" s="193"/>
      <c r="Y42" s="193"/>
      <c r="Z42" s="194"/>
      <c r="AA42" s="194"/>
      <c r="AB42" s="194"/>
      <c r="AC42" s="192">
        <f t="shared" si="0"/>
        <v>550</v>
      </c>
    </row>
    <row r="43" spans="1:32" s="158" customFormat="1" ht="15.5" x14ac:dyDescent="0.35">
      <c r="A43" s="183"/>
      <c r="B43" s="184" t="s">
        <v>236</v>
      </c>
      <c r="C43" s="199" t="s">
        <v>252</v>
      </c>
      <c r="D43" s="197">
        <v>50</v>
      </c>
      <c r="E43" s="186" t="s">
        <v>237</v>
      </c>
      <c r="F43" s="187"/>
      <c r="G43" s="187"/>
      <c r="H43" s="187"/>
      <c r="I43" s="188"/>
      <c r="J43" s="188"/>
      <c r="K43" s="188"/>
      <c r="L43" s="188">
        <v>250</v>
      </c>
      <c r="M43" s="188"/>
      <c r="N43" s="188"/>
      <c r="O43" s="200">
        <v>300</v>
      </c>
      <c r="P43" s="188"/>
      <c r="Q43" s="188"/>
      <c r="R43" s="188"/>
      <c r="S43" s="188"/>
      <c r="T43" s="193"/>
      <c r="U43" s="193"/>
      <c r="V43" s="193"/>
      <c r="W43" s="193"/>
      <c r="X43" s="193"/>
      <c r="Y43" s="193"/>
      <c r="Z43" s="194"/>
      <c r="AA43" s="194"/>
      <c r="AB43" s="194"/>
      <c r="AC43" s="192">
        <f t="shared" si="0"/>
        <v>550</v>
      </c>
    </row>
    <row r="44" spans="1:32" s="158" customFormat="1" ht="15.5" x14ac:dyDescent="0.35">
      <c r="A44" s="183"/>
      <c r="B44" s="184" t="s">
        <v>238</v>
      </c>
      <c r="C44" s="201" t="s">
        <v>192</v>
      </c>
      <c r="D44" s="186">
        <v>10</v>
      </c>
      <c r="E44" s="186" t="s">
        <v>240</v>
      </c>
      <c r="F44" s="187"/>
      <c r="G44" s="187"/>
      <c r="H44" s="187"/>
      <c r="I44" s="188"/>
      <c r="J44" s="188"/>
      <c r="K44" s="188"/>
      <c r="L44" s="188">
        <v>10000</v>
      </c>
      <c r="M44" s="188"/>
      <c r="N44" s="188"/>
      <c r="O44" s="188">
        <v>300</v>
      </c>
      <c r="P44" s="188"/>
      <c r="Q44" s="188"/>
      <c r="R44" s="188"/>
      <c r="S44" s="188"/>
      <c r="T44" s="193"/>
      <c r="U44" s="193"/>
      <c r="V44" s="193"/>
      <c r="W44" s="193"/>
      <c r="X44" s="193"/>
      <c r="Y44" s="193"/>
      <c r="Z44" s="194"/>
      <c r="AA44" s="194"/>
      <c r="AB44" s="194"/>
      <c r="AC44" s="192">
        <f t="shared" si="0"/>
        <v>10300</v>
      </c>
    </row>
    <row r="45" spans="1:32" s="158" customFormat="1" ht="15.5" x14ac:dyDescent="0.35">
      <c r="A45" s="183"/>
      <c r="B45" s="184" t="s">
        <v>239</v>
      </c>
      <c r="C45" s="201" t="s">
        <v>194</v>
      </c>
      <c r="D45" s="186">
        <v>10</v>
      </c>
      <c r="E45" s="186" t="s">
        <v>241</v>
      </c>
      <c r="F45" s="187"/>
      <c r="G45" s="187"/>
      <c r="H45" s="187"/>
      <c r="I45" s="188"/>
      <c r="J45" s="188"/>
      <c r="K45" s="188"/>
      <c r="L45" s="188">
        <v>10000</v>
      </c>
      <c r="M45" s="188"/>
      <c r="N45" s="188"/>
      <c r="O45" s="188"/>
      <c r="P45" s="188"/>
      <c r="Q45" s="188"/>
      <c r="R45" s="188"/>
      <c r="S45" s="188"/>
      <c r="T45" s="193"/>
      <c r="U45" s="193"/>
      <c r="V45" s="193"/>
      <c r="W45" s="193"/>
      <c r="X45" s="193"/>
      <c r="Y45" s="193"/>
      <c r="Z45" s="194"/>
      <c r="AA45" s="194"/>
      <c r="AB45" s="194"/>
      <c r="AC45" s="192">
        <f t="shared" si="0"/>
        <v>10000</v>
      </c>
    </row>
    <row r="46" spans="1:32" s="158" customFormat="1" ht="15.5" x14ac:dyDescent="0.35">
      <c r="A46" s="183"/>
      <c r="B46" s="184" t="s">
        <v>253</v>
      </c>
      <c r="C46" s="201" t="s">
        <v>197</v>
      </c>
      <c r="D46" s="186">
        <v>5</v>
      </c>
      <c r="E46" s="186" t="s">
        <v>254</v>
      </c>
      <c r="F46" s="187"/>
      <c r="G46" s="187"/>
      <c r="H46" s="187"/>
      <c r="I46" s="188"/>
      <c r="J46" s="188"/>
      <c r="K46" s="188"/>
      <c r="L46" s="188">
        <v>5000</v>
      </c>
      <c r="M46" s="188"/>
      <c r="N46" s="188"/>
      <c r="O46" s="188"/>
      <c r="P46" s="188"/>
      <c r="Q46" s="188"/>
      <c r="R46" s="188"/>
      <c r="S46" s="188"/>
      <c r="T46" s="193"/>
      <c r="U46" s="193"/>
      <c r="V46" s="193"/>
      <c r="W46" s="193"/>
      <c r="X46" s="193"/>
      <c r="Y46" s="193"/>
      <c r="Z46" s="194"/>
      <c r="AA46" s="194"/>
      <c r="AB46" s="194"/>
      <c r="AC46" s="192">
        <f t="shared" si="0"/>
        <v>5000</v>
      </c>
    </row>
    <row r="47" spans="1:32" s="158" customFormat="1" ht="15.5" x14ac:dyDescent="0.35">
      <c r="A47" s="183"/>
      <c r="B47" s="184" t="s">
        <v>249</v>
      </c>
      <c r="C47" s="201" t="s">
        <v>248</v>
      </c>
      <c r="D47" s="186">
        <v>14</v>
      </c>
      <c r="E47" s="197" t="s">
        <v>247</v>
      </c>
      <c r="F47" s="187"/>
      <c r="G47" s="187"/>
      <c r="H47" s="187"/>
      <c r="I47" s="188"/>
      <c r="J47" s="188"/>
      <c r="K47" s="188"/>
      <c r="L47" s="188">
        <v>10000</v>
      </c>
      <c r="M47" s="188"/>
      <c r="N47" s="188"/>
      <c r="O47" s="188"/>
      <c r="P47" s="188"/>
      <c r="Q47" s="188"/>
      <c r="R47" s="188"/>
      <c r="S47" s="188"/>
      <c r="T47" s="193"/>
      <c r="U47" s="193"/>
      <c r="V47" s="193"/>
      <c r="W47" s="193"/>
      <c r="X47" s="193"/>
      <c r="Y47" s="193"/>
      <c r="Z47" s="194"/>
      <c r="AA47" s="194"/>
      <c r="AB47" s="194"/>
      <c r="AC47" s="192">
        <f t="shared" si="0"/>
        <v>10000</v>
      </c>
    </row>
    <row r="48" spans="1:32" s="158" customFormat="1" ht="15.5" x14ac:dyDescent="0.35">
      <c r="A48" s="183"/>
      <c r="B48" s="184" t="s">
        <v>244</v>
      </c>
      <c r="C48" s="185" t="s">
        <v>201</v>
      </c>
      <c r="D48" s="186">
        <v>14</v>
      </c>
      <c r="E48" s="186" t="s">
        <v>180</v>
      </c>
      <c r="F48" s="187"/>
      <c r="G48" s="187"/>
      <c r="H48" s="187"/>
      <c r="I48" s="188"/>
      <c r="J48" s="188"/>
      <c r="K48" s="188"/>
      <c r="L48" s="188">
        <v>2000</v>
      </c>
      <c r="M48" s="188"/>
      <c r="N48" s="188"/>
      <c r="O48" s="188">
        <v>1000</v>
      </c>
      <c r="P48" s="188"/>
      <c r="Q48" s="188"/>
      <c r="R48" s="188"/>
      <c r="S48" s="188"/>
      <c r="T48" s="193"/>
      <c r="U48" s="193"/>
      <c r="V48" s="193"/>
      <c r="W48" s="193"/>
      <c r="X48" s="193"/>
      <c r="Y48" s="193"/>
      <c r="Z48" s="194"/>
      <c r="AA48" s="194"/>
      <c r="AB48" s="194"/>
      <c r="AC48" s="192">
        <f t="shared" si="0"/>
        <v>3000</v>
      </c>
    </row>
    <row r="49" spans="1:32" s="158" customFormat="1" ht="19" customHeight="1" x14ac:dyDescent="0.35">
      <c r="A49" s="183"/>
      <c r="B49" s="184" t="s">
        <v>246</v>
      </c>
      <c r="C49" s="199" t="s">
        <v>198</v>
      </c>
      <c r="D49" s="197">
        <v>16</v>
      </c>
      <c r="E49" s="197" t="s">
        <v>247</v>
      </c>
      <c r="F49" s="188"/>
      <c r="G49" s="188"/>
      <c r="H49" s="188"/>
      <c r="I49" s="188"/>
      <c r="J49" s="188"/>
      <c r="K49" s="188"/>
      <c r="L49" s="188">
        <v>24000</v>
      </c>
      <c r="M49" s="188"/>
      <c r="N49" s="188"/>
      <c r="O49" s="188">
        <v>1000</v>
      </c>
      <c r="P49" s="188"/>
      <c r="Q49" s="188"/>
      <c r="R49" s="188"/>
      <c r="S49" s="200">
        <v>5215</v>
      </c>
      <c r="T49" s="188"/>
      <c r="U49" s="188"/>
      <c r="V49" s="188"/>
      <c r="W49" s="188"/>
      <c r="X49" s="188"/>
      <c r="Y49" s="188"/>
      <c r="Z49" s="198"/>
      <c r="AA49" s="198"/>
      <c r="AB49" s="198"/>
      <c r="AC49" s="192">
        <f t="shared" si="0"/>
        <v>30215</v>
      </c>
    </row>
    <row r="50" spans="1:32" s="158" customFormat="1" ht="15.5" x14ac:dyDescent="0.35">
      <c r="A50" s="183"/>
      <c r="B50" s="184" t="s">
        <v>255</v>
      </c>
      <c r="C50" s="199" t="s">
        <v>193</v>
      </c>
      <c r="D50" s="197">
        <v>3</v>
      </c>
      <c r="E50" s="197" t="s">
        <v>256</v>
      </c>
      <c r="F50" s="188"/>
      <c r="G50" s="188"/>
      <c r="H50" s="188"/>
      <c r="I50" s="188"/>
      <c r="J50" s="188"/>
      <c r="K50" s="188"/>
      <c r="L50" s="200">
        <v>3000</v>
      </c>
      <c r="M50" s="188"/>
      <c r="N50" s="188"/>
      <c r="O50" s="188"/>
      <c r="P50" s="188"/>
      <c r="Q50" s="188"/>
      <c r="R50" s="188"/>
      <c r="S50" s="200"/>
      <c r="T50" s="188"/>
      <c r="U50" s="188"/>
      <c r="V50" s="188"/>
      <c r="W50" s="188"/>
      <c r="X50" s="188"/>
      <c r="Y50" s="188"/>
      <c r="Z50" s="198"/>
      <c r="AA50" s="198"/>
      <c r="AB50" s="198"/>
      <c r="AC50" s="192">
        <f t="shared" si="0"/>
        <v>3000</v>
      </c>
    </row>
    <row r="51" spans="1:32" s="158" customFormat="1" ht="15.5" x14ac:dyDescent="0.35">
      <c r="A51" s="183"/>
      <c r="B51" s="184" t="s">
        <v>257</v>
      </c>
      <c r="C51" s="199" t="s">
        <v>224</v>
      </c>
      <c r="D51" s="197">
        <v>5</v>
      </c>
      <c r="E51" s="197" t="s">
        <v>245</v>
      </c>
      <c r="F51" s="188"/>
      <c r="G51" s="188"/>
      <c r="H51" s="188"/>
      <c r="I51" s="188"/>
      <c r="J51" s="188"/>
      <c r="K51" s="188"/>
      <c r="L51" s="188">
        <v>5000</v>
      </c>
      <c r="M51" s="188"/>
      <c r="N51" s="188"/>
      <c r="O51" s="188"/>
      <c r="P51" s="188"/>
      <c r="Q51" s="188"/>
      <c r="R51" s="188"/>
      <c r="S51" s="188">
        <f>5*250</f>
        <v>1250</v>
      </c>
      <c r="T51" s="188"/>
      <c r="U51" s="188"/>
      <c r="V51" s="188"/>
      <c r="W51" s="188"/>
      <c r="X51" s="188"/>
      <c r="Y51" s="188"/>
      <c r="Z51" s="198"/>
      <c r="AA51" s="198"/>
      <c r="AB51" s="198"/>
      <c r="AC51" s="192">
        <f t="shared" si="0"/>
        <v>6250</v>
      </c>
    </row>
    <row r="52" spans="1:32" s="158" customFormat="1" ht="15.5" x14ac:dyDescent="0.35">
      <c r="A52" s="183"/>
      <c r="B52" s="184" t="s">
        <v>258</v>
      </c>
      <c r="C52" s="185" t="s">
        <v>203</v>
      </c>
      <c r="D52" s="197">
        <v>3</v>
      </c>
      <c r="E52" s="197" t="s">
        <v>259</v>
      </c>
      <c r="F52" s="188"/>
      <c r="G52" s="188"/>
      <c r="H52" s="188"/>
      <c r="I52" s="188"/>
      <c r="J52" s="188"/>
      <c r="K52" s="188"/>
      <c r="L52" s="188">
        <v>6000</v>
      </c>
      <c r="M52" s="188"/>
      <c r="N52" s="188"/>
      <c r="O52" s="188"/>
      <c r="P52" s="188"/>
      <c r="Q52" s="188"/>
      <c r="R52" s="188"/>
      <c r="S52" s="200"/>
      <c r="T52" s="188"/>
      <c r="U52" s="188"/>
      <c r="V52" s="188"/>
      <c r="W52" s="188"/>
      <c r="X52" s="188"/>
      <c r="Y52" s="188"/>
      <c r="Z52" s="198"/>
      <c r="AA52" s="198"/>
      <c r="AB52" s="198"/>
      <c r="AC52" s="192">
        <f t="shared" si="0"/>
        <v>6000</v>
      </c>
    </row>
    <row r="53" spans="1:32" s="158" customFormat="1" ht="15.5" x14ac:dyDescent="0.35">
      <c r="A53" s="183"/>
      <c r="B53" s="197"/>
      <c r="C53" s="185" t="s">
        <v>260</v>
      </c>
      <c r="D53" s="197"/>
      <c r="E53" s="197"/>
      <c r="F53" s="188"/>
      <c r="G53" s="188"/>
      <c r="H53" s="188"/>
      <c r="I53" s="188"/>
      <c r="J53" s="188"/>
      <c r="K53" s="188"/>
      <c r="L53" s="188"/>
      <c r="M53" s="188"/>
      <c r="N53" s="188"/>
      <c r="O53" s="188">
        <v>4000</v>
      </c>
      <c r="P53" s="188"/>
      <c r="Q53" s="188"/>
      <c r="R53" s="188"/>
      <c r="S53" s="188"/>
      <c r="T53" s="188"/>
      <c r="U53" s="188"/>
      <c r="V53" s="188"/>
      <c r="W53" s="188"/>
      <c r="X53" s="188"/>
      <c r="Y53" s="188"/>
      <c r="Z53" s="198"/>
      <c r="AA53" s="198"/>
      <c r="AB53" s="198"/>
      <c r="AC53" s="192">
        <f t="shared" si="0"/>
        <v>4000</v>
      </c>
    </row>
    <row r="54" spans="1:32" s="158" customFormat="1" ht="15.5" x14ac:dyDescent="0.35">
      <c r="A54" s="183"/>
      <c r="B54" s="197"/>
      <c r="C54" s="185" t="s">
        <v>243</v>
      </c>
      <c r="D54" s="197"/>
      <c r="E54" s="197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>
        <v>2000</v>
      </c>
      <c r="Q54" s="188"/>
      <c r="R54" s="188"/>
      <c r="S54" s="188">
        <v>2000</v>
      </c>
      <c r="T54" s="188"/>
      <c r="U54" s="188"/>
      <c r="V54" s="188"/>
      <c r="W54" s="188"/>
      <c r="X54" s="188"/>
      <c r="Y54" s="188"/>
      <c r="Z54" s="198"/>
      <c r="AA54" s="198"/>
      <c r="AB54" s="198"/>
      <c r="AC54" s="192">
        <f t="shared" si="0"/>
        <v>4000</v>
      </c>
    </row>
    <row r="55" spans="1:32" s="158" customFormat="1" ht="16" thickBot="1" x14ac:dyDescent="0.4">
      <c r="A55" s="183"/>
      <c r="B55" s="197"/>
      <c r="C55" s="185" t="s">
        <v>226</v>
      </c>
      <c r="D55" s="197"/>
      <c r="E55" s="197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>
        <v>3000</v>
      </c>
      <c r="T55" s="188"/>
      <c r="U55" s="188"/>
      <c r="V55" s="188"/>
      <c r="W55" s="188"/>
      <c r="X55" s="188"/>
      <c r="Y55" s="188"/>
      <c r="Z55" s="198"/>
      <c r="AA55" s="198"/>
      <c r="AB55" s="198"/>
      <c r="AC55" s="192">
        <f t="shared" si="0"/>
        <v>3000</v>
      </c>
    </row>
    <row r="56" spans="1:32" s="158" customFormat="1" ht="16" thickBot="1" x14ac:dyDescent="0.4">
      <c r="A56" s="183"/>
      <c r="B56" s="184" t="s">
        <v>168</v>
      </c>
      <c r="C56" s="199" t="s">
        <v>204</v>
      </c>
      <c r="D56" s="197"/>
      <c r="E56" s="197"/>
      <c r="F56" s="188"/>
      <c r="G56" s="188"/>
      <c r="H56" s="188"/>
      <c r="I56" s="188"/>
      <c r="J56" s="188"/>
      <c r="K56" s="200"/>
      <c r="L56" s="188"/>
      <c r="M56" s="188"/>
      <c r="N56" s="188"/>
      <c r="O56" s="188"/>
      <c r="P56" s="200">
        <v>4000</v>
      </c>
      <c r="Q56" s="188"/>
      <c r="R56" s="200"/>
      <c r="S56" s="188"/>
      <c r="T56" s="188"/>
      <c r="U56" s="188"/>
      <c r="V56" s="188"/>
      <c r="W56" s="188"/>
      <c r="X56" s="188"/>
      <c r="Y56" s="188"/>
      <c r="Z56" s="198"/>
      <c r="AA56" s="198"/>
      <c r="AB56" s="198"/>
      <c r="AC56" s="334">
        <f t="shared" si="0"/>
        <v>4000</v>
      </c>
      <c r="AD56" s="221">
        <f>SUM(AC38:AC56)</f>
        <v>106215</v>
      </c>
      <c r="AE56" s="220">
        <v>106215</v>
      </c>
      <c r="AF56" s="220">
        <f>AE56-AD56</f>
        <v>0</v>
      </c>
    </row>
    <row r="57" spans="1:32" s="158" customFormat="1" ht="16" thickBot="1" x14ac:dyDescent="0.4">
      <c r="A57" s="202"/>
      <c r="B57" s="203" t="s">
        <v>205</v>
      </c>
      <c r="C57" s="203" t="s">
        <v>205</v>
      </c>
      <c r="D57" s="204"/>
      <c r="E57" s="203" t="s">
        <v>205</v>
      </c>
      <c r="F57" s="205">
        <f t="shared" ref="F57:AC57" si="1">SUM(F10:F56)</f>
        <v>46440</v>
      </c>
      <c r="G57" s="205">
        <f t="shared" si="1"/>
        <v>0</v>
      </c>
      <c r="H57" s="205">
        <f t="shared" si="1"/>
        <v>0</v>
      </c>
      <c r="I57" s="205">
        <f t="shared" si="1"/>
        <v>10960</v>
      </c>
      <c r="J57" s="205">
        <f t="shared" si="1"/>
        <v>0</v>
      </c>
      <c r="K57" s="205">
        <f t="shared" si="1"/>
        <v>3250</v>
      </c>
      <c r="L57" s="205">
        <f t="shared" si="1"/>
        <v>80250</v>
      </c>
      <c r="M57" s="205">
        <f t="shared" si="1"/>
        <v>800</v>
      </c>
      <c r="N57" s="205">
        <f t="shared" si="1"/>
        <v>1100</v>
      </c>
      <c r="O57" s="205">
        <f t="shared" si="1"/>
        <v>34421</v>
      </c>
      <c r="P57" s="205">
        <f t="shared" si="1"/>
        <v>6000</v>
      </c>
      <c r="Q57" s="205">
        <f t="shared" si="1"/>
        <v>0</v>
      </c>
      <c r="R57" s="205">
        <f t="shared" si="1"/>
        <v>3650</v>
      </c>
      <c r="S57" s="205">
        <f t="shared" si="1"/>
        <v>36865</v>
      </c>
      <c r="T57" s="205">
        <f t="shared" si="1"/>
        <v>0</v>
      </c>
      <c r="U57" s="205">
        <f t="shared" si="1"/>
        <v>0</v>
      </c>
      <c r="V57" s="205">
        <f t="shared" si="1"/>
        <v>0</v>
      </c>
      <c r="W57" s="205">
        <f t="shared" si="1"/>
        <v>0</v>
      </c>
      <c r="X57" s="205">
        <f t="shared" si="1"/>
        <v>0</v>
      </c>
      <c r="Y57" s="205">
        <f t="shared" si="1"/>
        <v>0</v>
      </c>
      <c r="Z57" s="205">
        <f t="shared" si="1"/>
        <v>0</v>
      </c>
      <c r="AA57" s="205">
        <f t="shared" si="1"/>
        <v>0</v>
      </c>
      <c r="AB57" s="205">
        <f t="shared" si="1"/>
        <v>0</v>
      </c>
      <c r="AC57" s="206">
        <f t="shared" si="1"/>
        <v>223736</v>
      </c>
    </row>
    <row r="58" spans="1:32" s="158" customFormat="1" ht="15.5" x14ac:dyDescent="0.35">
      <c r="A58" s="207"/>
      <c r="B58" s="208"/>
      <c r="C58" s="208"/>
      <c r="D58" s="209"/>
      <c r="E58" s="208"/>
      <c r="F58" s="210"/>
      <c r="G58" s="210"/>
      <c r="H58" s="210"/>
      <c r="I58" s="211"/>
      <c r="J58" s="211"/>
      <c r="K58" s="211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3"/>
    </row>
    <row r="60" spans="1:32" ht="15.5" x14ac:dyDescent="0.35">
      <c r="B60" s="156"/>
      <c r="C60" s="158"/>
      <c r="D60" s="158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62"/>
      <c r="S60" s="362"/>
      <c r="T60" s="362"/>
      <c r="U60" s="362"/>
      <c r="V60" s="362"/>
      <c r="W60" s="362"/>
      <c r="X60" s="362"/>
      <c r="Y60" s="362"/>
      <c r="Z60" s="362"/>
      <c r="AA60" s="362"/>
      <c r="AB60" s="362"/>
      <c r="AC60" s="362"/>
    </row>
    <row r="61" spans="1:32" ht="15.5" x14ac:dyDescent="0.35">
      <c r="B61" s="156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9"/>
      <c r="T61" s="159"/>
      <c r="U61" s="159"/>
      <c r="V61" s="159"/>
      <c r="W61" s="159"/>
      <c r="X61" s="160"/>
    </row>
    <row r="62" spans="1:32" ht="15.5" x14ac:dyDescent="0.35">
      <c r="B62" s="156"/>
      <c r="C62" s="158"/>
      <c r="D62" s="158"/>
      <c r="S62" s="160"/>
      <c r="T62" s="160"/>
      <c r="U62" s="160"/>
      <c r="V62" s="160"/>
      <c r="W62" s="159"/>
      <c r="X62" s="160"/>
      <c r="Y62" s="160"/>
      <c r="Z62" s="160"/>
      <c r="AA62" s="160"/>
      <c r="AB62" s="160"/>
      <c r="AC62" s="160"/>
    </row>
    <row r="63" spans="1:32" x14ac:dyDescent="0.3">
      <c r="B63" s="153"/>
      <c r="C63" s="214"/>
      <c r="D63" s="214"/>
      <c r="E63" s="214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6"/>
      <c r="T63" s="216"/>
      <c r="U63" s="216"/>
      <c r="V63" s="216"/>
      <c r="W63" s="217"/>
      <c r="X63" s="216"/>
      <c r="Y63" s="216"/>
      <c r="Z63" s="216"/>
      <c r="AA63" s="216"/>
      <c r="AB63" s="216"/>
      <c r="AC63" s="216"/>
    </row>
    <row r="64" spans="1:32" x14ac:dyDescent="0.3">
      <c r="B64" s="153"/>
      <c r="C64" s="214"/>
      <c r="D64" s="214"/>
      <c r="E64" s="214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</row>
    <row r="65" spans="2:29" ht="15.5" x14ac:dyDescent="0.35">
      <c r="B65" s="156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58"/>
      <c r="T65" s="158"/>
      <c r="U65" s="158"/>
      <c r="V65" s="158"/>
      <c r="W65" s="158"/>
      <c r="X65" s="158"/>
    </row>
    <row r="66" spans="2:29" ht="15.5" x14ac:dyDescent="0.35">
      <c r="C66" s="158"/>
      <c r="D66" s="158"/>
      <c r="E66" s="219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W66" s="153"/>
    </row>
    <row r="67" spans="2:29" x14ac:dyDescent="0.3">
      <c r="B67" s="153"/>
      <c r="C67" s="214"/>
      <c r="D67" s="214"/>
      <c r="E67" s="214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6"/>
      <c r="T67" s="216"/>
      <c r="U67" s="216"/>
      <c r="V67" s="216"/>
      <c r="W67" s="217"/>
      <c r="X67" s="216"/>
      <c r="Y67" s="216"/>
      <c r="Z67" s="216"/>
      <c r="AA67" s="216"/>
      <c r="AB67" s="216"/>
      <c r="AC67" s="216"/>
    </row>
  </sheetData>
  <mergeCells count="3">
    <mergeCell ref="F1:T1"/>
    <mergeCell ref="X1:AC1"/>
    <mergeCell ref="E60:AC60"/>
  </mergeCells>
  <phoneticPr fontId="4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D9F6-5EB9-524E-BF9D-475C55833B8D}">
  <dimension ref="A1:AF63"/>
  <sheetViews>
    <sheetView topLeftCell="B26" zoomScale="70" zoomScaleNormal="70" workbookViewId="0">
      <selection activeCell="T33" sqref="T33"/>
    </sheetView>
  </sheetViews>
  <sheetFormatPr defaultColWidth="8.83203125" defaultRowHeight="15.5" x14ac:dyDescent="0.35"/>
  <cols>
    <col min="2" max="2" width="39.58203125" customWidth="1"/>
    <col min="3" max="3" width="37.83203125" customWidth="1"/>
    <col min="4" max="4" width="10.1640625" customWidth="1"/>
    <col min="5" max="5" width="16.6640625" customWidth="1"/>
  </cols>
  <sheetData>
    <row r="1" spans="1:32" x14ac:dyDescent="0.35">
      <c r="A1" s="363" t="s">
        <v>355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</row>
    <row r="2" spans="1:32" ht="16" thickBot="1" x14ac:dyDescent="0.4">
      <c r="H2" s="261" t="s">
        <v>272</v>
      </c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</row>
    <row r="3" spans="1:32" x14ac:dyDescent="0.35">
      <c r="A3" s="167"/>
      <c r="B3" s="168"/>
      <c r="C3" s="169"/>
      <c r="D3" s="169"/>
      <c r="E3" s="170"/>
      <c r="F3" s="171">
        <v>1110</v>
      </c>
      <c r="G3" s="171">
        <v>1140</v>
      </c>
      <c r="H3" s="171">
        <v>1150</v>
      </c>
      <c r="I3" s="171">
        <v>1210</v>
      </c>
      <c r="J3" s="171">
        <v>1220</v>
      </c>
      <c r="K3" s="171">
        <v>2110</v>
      </c>
      <c r="L3" s="172">
        <v>2120</v>
      </c>
      <c r="M3" s="172">
        <v>2210</v>
      </c>
      <c r="N3" s="172">
        <v>2220</v>
      </c>
      <c r="O3" s="172">
        <v>2230</v>
      </c>
      <c r="P3" s="172">
        <v>2240</v>
      </c>
      <c r="Q3" s="172">
        <v>2250</v>
      </c>
      <c r="R3" s="172">
        <v>2260</v>
      </c>
      <c r="S3" s="171">
        <v>2310</v>
      </c>
      <c r="T3" s="171">
        <v>2320</v>
      </c>
      <c r="U3" s="171">
        <v>2340</v>
      </c>
      <c r="V3" s="171">
        <v>2350</v>
      </c>
      <c r="W3" s="171">
        <v>2360</v>
      </c>
      <c r="X3" s="171">
        <v>2390</v>
      </c>
      <c r="Y3" s="173">
        <v>5110</v>
      </c>
      <c r="Z3" s="173">
        <v>5120</v>
      </c>
      <c r="AA3" s="173">
        <v>5220</v>
      </c>
      <c r="AB3" s="173">
        <v>5230</v>
      </c>
      <c r="AC3" s="174"/>
    </row>
    <row r="4" spans="1:32" ht="137" x14ac:dyDescent="0.35">
      <c r="A4" s="175" t="s">
        <v>138</v>
      </c>
      <c r="B4" s="176" t="s">
        <v>139</v>
      </c>
      <c r="C4" s="176" t="s">
        <v>140</v>
      </c>
      <c r="D4" s="176" t="s">
        <v>141</v>
      </c>
      <c r="E4" s="177" t="s">
        <v>142</v>
      </c>
      <c r="F4" s="262" t="s">
        <v>143</v>
      </c>
      <c r="G4" s="262" t="s">
        <v>144</v>
      </c>
      <c r="H4" s="262" t="s">
        <v>145</v>
      </c>
      <c r="I4" s="263" t="s">
        <v>146</v>
      </c>
      <c r="J4" s="263" t="s">
        <v>147</v>
      </c>
      <c r="K4" s="264" t="s">
        <v>148</v>
      </c>
      <c r="L4" s="264" t="s">
        <v>149</v>
      </c>
      <c r="M4" s="264" t="s">
        <v>150</v>
      </c>
      <c r="N4" s="264" t="s">
        <v>151</v>
      </c>
      <c r="O4" s="264" t="s">
        <v>152</v>
      </c>
      <c r="P4" s="264" t="s">
        <v>153</v>
      </c>
      <c r="Q4" s="264" t="s">
        <v>154</v>
      </c>
      <c r="R4" s="264" t="s">
        <v>155</v>
      </c>
      <c r="S4" s="264" t="s">
        <v>156</v>
      </c>
      <c r="T4" s="264" t="s">
        <v>157</v>
      </c>
      <c r="U4" s="264" t="s">
        <v>158</v>
      </c>
      <c r="V4" s="264" t="s">
        <v>159</v>
      </c>
      <c r="W4" s="264" t="s">
        <v>160</v>
      </c>
      <c r="X4" s="264" t="s">
        <v>161</v>
      </c>
      <c r="Y4" s="264" t="s">
        <v>162</v>
      </c>
      <c r="Z4" s="264" t="s">
        <v>163</v>
      </c>
      <c r="AA4" s="264" t="s">
        <v>164</v>
      </c>
      <c r="AB4" s="264" t="s">
        <v>165</v>
      </c>
      <c r="AC4" s="181" t="s">
        <v>166</v>
      </c>
    </row>
    <row r="5" spans="1:32" x14ac:dyDescent="0.35">
      <c r="A5" s="265">
        <v>1</v>
      </c>
      <c r="B5" s="272" t="s">
        <v>356</v>
      </c>
      <c r="C5" s="267" t="s">
        <v>357</v>
      </c>
      <c r="D5" s="268" t="s">
        <v>281</v>
      </c>
      <c r="E5" s="269" t="s">
        <v>358</v>
      </c>
      <c r="F5" s="270"/>
      <c r="G5" s="270"/>
      <c r="H5" s="270"/>
      <c r="I5" s="270"/>
      <c r="J5" s="270"/>
      <c r="K5" s="270"/>
      <c r="L5" s="271">
        <v>5500</v>
      </c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306">
        <f>SUM(F5:AB5)</f>
        <v>5500</v>
      </c>
    </row>
    <row r="6" spans="1:32" x14ac:dyDescent="0.35">
      <c r="A6" s="265">
        <v>2</v>
      </c>
      <c r="B6" s="266" t="s">
        <v>359</v>
      </c>
      <c r="C6" s="267" t="s">
        <v>274</v>
      </c>
      <c r="D6" s="268" t="s">
        <v>281</v>
      </c>
      <c r="E6" s="269" t="s">
        <v>275</v>
      </c>
      <c r="F6" s="270"/>
      <c r="G6" s="270"/>
      <c r="H6" s="270"/>
      <c r="I6" s="270"/>
      <c r="J6" s="270"/>
      <c r="K6" s="270"/>
      <c r="L6" s="271">
        <v>1500</v>
      </c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306">
        <f t="shared" ref="AC6:AC39" si="0">SUM(F6:AB6)</f>
        <v>1500</v>
      </c>
    </row>
    <row r="7" spans="1:32" x14ac:dyDescent="0.35">
      <c r="A7" s="265">
        <v>3</v>
      </c>
      <c r="B7" s="276" t="s">
        <v>360</v>
      </c>
      <c r="C7" s="267" t="s">
        <v>357</v>
      </c>
      <c r="D7" s="268" t="s">
        <v>281</v>
      </c>
      <c r="E7" s="277" t="s">
        <v>361</v>
      </c>
      <c r="F7" s="268"/>
      <c r="G7" s="268"/>
      <c r="H7" s="268"/>
      <c r="I7" s="268"/>
      <c r="J7" s="268"/>
      <c r="K7" s="268"/>
      <c r="L7" s="278">
        <v>4900</v>
      </c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79"/>
      <c r="AA7" s="279"/>
      <c r="AB7" s="279"/>
      <c r="AC7" s="306">
        <f t="shared" si="0"/>
        <v>4900</v>
      </c>
    </row>
    <row r="8" spans="1:32" x14ac:dyDescent="0.35">
      <c r="A8" s="265">
        <v>4</v>
      </c>
      <c r="B8" s="268" t="s">
        <v>362</v>
      </c>
      <c r="C8" s="273" t="s">
        <v>276</v>
      </c>
      <c r="D8" s="268" t="s">
        <v>277</v>
      </c>
      <c r="E8" s="268" t="s">
        <v>278</v>
      </c>
      <c r="F8" s="274"/>
      <c r="G8" s="274"/>
      <c r="H8" s="274"/>
      <c r="I8" s="274"/>
      <c r="J8" s="274"/>
      <c r="K8" s="274"/>
      <c r="L8" s="274">
        <v>2000</v>
      </c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5"/>
      <c r="AA8" s="275"/>
      <c r="AB8" s="275"/>
      <c r="AC8" s="306">
        <f t="shared" si="0"/>
        <v>2000</v>
      </c>
    </row>
    <row r="9" spans="1:32" x14ac:dyDescent="0.35">
      <c r="A9" s="265">
        <v>5</v>
      </c>
      <c r="B9" s="276" t="s">
        <v>363</v>
      </c>
      <c r="C9" s="273" t="s">
        <v>280</v>
      </c>
      <c r="D9" s="268" t="s">
        <v>281</v>
      </c>
      <c r="E9" s="277" t="s">
        <v>282</v>
      </c>
      <c r="F9" s="268"/>
      <c r="G9" s="268"/>
      <c r="H9" s="268"/>
      <c r="I9" s="268"/>
      <c r="J9" s="268"/>
      <c r="K9" s="268"/>
      <c r="L9" s="278">
        <v>4800</v>
      </c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79"/>
      <c r="AA9" s="279"/>
      <c r="AB9" s="279"/>
      <c r="AC9" s="306">
        <f t="shared" si="0"/>
        <v>4800</v>
      </c>
    </row>
    <row r="10" spans="1:32" x14ac:dyDescent="0.35">
      <c r="A10" s="265">
        <v>6</v>
      </c>
      <c r="B10" s="268" t="s">
        <v>364</v>
      </c>
      <c r="C10" s="273" t="s">
        <v>283</v>
      </c>
      <c r="D10" s="268" t="s">
        <v>273</v>
      </c>
      <c r="E10" s="268" t="s">
        <v>284</v>
      </c>
      <c r="F10" s="274"/>
      <c r="G10" s="274"/>
      <c r="H10" s="274"/>
      <c r="I10" s="274"/>
      <c r="J10" s="274"/>
      <c r="K10" s="274"/>
      <c r="L10" s="274">
        <v>7300</v>
      </c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5"/>
      <c r="AA10" s="275"/>
      <c r="AB10" s="275"/>
      <c r="AC10" s="306">
        <f t="shared" si="0"/>
        <v>7300</v>
      </c>
    </row>
    <row r="11" spans="1:32" x14ac:dyDescent="0.35">
      <c r="A11" s="265">
        <v>7</v>
      </c>
      <c r="B11" s="268" t="s">
        <v>365</v>
      </c>
      <c r="C11" s="273" t="s">
        <v>357</v>
      </c>
      <c r="D11" s="268" t="s">
        <v>281</v>
      </c>
      <c r="E11" s="268" t="s">
        <v>285</v>
      </c>
      <c r="F11" s="274"/>
      <c r="G11" s="274"/>
      <c r="H11" s="274"/>
      <c r="I11" s="274"/>
      <c r="J11" s="274"/>
      <c r="K11" s="274"/>
      <c r="L11" s="274">
        <v>3900</v>
      </c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5"/>
      <c r="AA11" s="275"/>
      <c r="AB11" s="275"/>
      <c r="AC11" s="306">
        <f t="shared" si="0"/>
        <v>3900</v>
      </c>
    </row>
    <row r="12" spans="1:32" x14ac:dyDescent="0.35">
      <c r="A12" s="265">
        <v>8</v>
      </c>
      <c r="B12" s="268" t="s">
        <v>286</v>
      </c>
      <c r="C12" s="273" t="s">
        <v>357</v>
      </c>
      <c r="D12" s="268" t="s">
        <v>281</v>
      </c>
      <c r="E12" s="268" t="s">
        <v>287</v>
      </c>
      <c r="F12" s="274"/>
      <c r="G12" s="274"/>
      <c r="H12" s="274"/>
      <c r="I12" s="274"/>
      <c r="J12" s="274"/>
      <c r="K12" s="274"/>
      <c r="L12" s="274">
        <v>3500</v>
      </c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5"/>
      <c r="AA12" s="275"/>
      <c r="AB12" s="275"/>
      <c r="AC12" s="306">
        <f t="shared" si="0"/>
        <v>3500</v>
      </c>
    </row>
    <row r="13" spans="1:32" x14ac:dyDescent="0.35">
      <c r="A13" s="265">
        <v>9</v>
      </c>
      <c r="B13" s="268" t="s">
        <v>366</v>
      </c>
      <c r="C13" s="273" t="s">
        <v>357</v>
      </c>
      <c r="D13" s="268" t="s">
        <v>281</v>
      </c>
      <c r="E13" s="268" t="s">
        <v>367</v>
      </c>
      <c r="F13" s="274"/>
      <c r="G13" s="274"/>
      <c r="H13" s="274"/>
      <c r="I13" s="274"/>
      <c r="J13" s="274"/>
      <c r="K13" s="274"/>
      <c r="L13" s="274">
        <f>5500-200</f>
        <v>5300</v>
      </c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5"/>
      <c r="AA13" s="275"/>
      <c r="AB13" s="275"/>
      <c r="AC13" s="306">
        <f t="shared" si="0"/>
        <v>5300</v>
      </c>
    </row>
    <row r="14" spans="1:32" x14ac:dyDescent="0.35">
      <c r="A14" s="265">
        <v>10</v>
      </c>
      <c r="B14" s="268" t="s">
        <v>288</v>
      </c>
      <c r="C14" s="273" t="s">
        <v>289</v>
      </c>
      <c r="D14" s="268" t="s">
        <v>281</v>
      </c>
      <c r="E14" s="268" t="s">
        <v>287</v>
      </c>
      <c r="F14" s="274"/>
      <c r="G14" s="274"/>
      <c r="H14" s="274"/>
      <c r="I14" s="274"/>
      <c r="J14" s="274"/>
      <c r="K14" s="274"/>
      <c r="L14" s="274">
        <v>5800</v>
      </c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5"/>
      <c r="AA14" s="275"/>
      <c r="AB14" s="275"/>
      <c r="AC14" s="306">
        <f t="shared" si="0"/>
        <v>5800</v>
      </c>
    </row>
    <row r="15" spans="1:32" x14ac:dyDescent="0.35">
      <c r="A15" s="265">
        <v>11</v>
      </c>
      <c r="B15" s="268" t="s">
        <v>368</v>
      </c>
      <c r="C15" s="273" t="s">
        <v>293</v>
      </c>
      <c r="D15" s="268" t="s">
        <v>369</v>
      </c>
      <c r="E15" s="268" t="s">
        <v>370</v>
      </c>
      <c r="F15" s="274"/>
      <c r="G15" s="274"/>
      <c r="H15" s="274"/>
      <c r="I15" s="274"/>
      <c r="J15" s="274"/>
      <c r="K15" s="274"/>
      <c r="L15" s="274">
        <v>12000</v>
      </c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5"/>
      <c r="AA15" s="275"/>
      <c r="AB15" s="275"/>
      <c r="AC15" s="306">
        <f t="shared" si="0"/>
        <v>12000</v>
      </c>
    </row>
    <row r="16" spans="1:32" x14ac:dyDescent="0.35">
      <c r="A16" s="265">
        <v>12</v>
      </c>
      <c r="B16" s="268" t="s">
        <v>371</v>
      </c>
      <c r="C16" s="273" t="s">
        <v>292</v>
      </c>
      <c r="D16" s="268" t="s">
        <v>372</v>
      </c>
      <c r="E16" s="268" t="s">
        <v>373</v>
      </c>
      <c r="F16" s="274"/>
      <c r="G16" s="274"/>
      <c r="H16" s="274"/>
      <c r="I16" s="274"/>
      <c r="J16" s="274"/>
      <c r="K16" s="274"/>
      <c r="L16" s="274">
        <v>10000</v>
      </c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5"/>
      <c r="AA16" s="275"/>
      <c r="AB16" s="275"/>
      <c r="AC16" s="306">
        <f t="shared" si="0"/>
        <v>10000</v>
      </c>
    </row>
    <row r="17" spans="1:32" x14ac:dyDescent="0.35">
      <c r="A17" s="265">
        <v>13</v>
      </c>
      <c r="B17" s="268" t="s">
        <v>374</v>
      </c>
      <c r="C17" s="273" t="s">
        <v>375</v>
      </c>
      <c r="D17" s="268" t="s">
        <v>376</v>
      </c>
      <c r="E17" s="268" t="s">
        <v>377</v>
      </c>
      <c r="F17" s="274"/>
      <c r="G17" s="274"/>
      <c r="H17" s="274"/>
      <c r="I17" s="274"/>
      <c r="J17" s="274"/>
      <c r="K17" s="274"/>
      <c r="L17" s="274">
        <v>4500</v>
      </c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5"/>
      <c r="AA17" s="275"/>
      <c r="AB17" s="275"/>
      <c r="AC17" s="306">
        <f t="shared" si="0"/>
        <v>4500</v>
      </c>
      <c r="AF17" s="307"/>
    </row>
    <row r="18" spans="1:32" x14ac:dyDescent="0.35">
      <c r="A18" s="265">
        <v>14</v>
      </c>
      <c r="B18" s="268" t="s">
        <v>378</v>
      </c>
      <c r="C18" s="273" t="s">
        <v>379</v>
      </c>
      <c r="D18" s="268" t="s">
        <v>376</v>
      </c>
      <c r="E18" s="268" t="s">
        <v>291</v>
      </c>
      <c r="F18" s="274"/>
      <c r="G18" s="274"/>
      <c r="H18" s="274"/>
      <c r="I18" s="274"/>
      <c r="J18" s="274"/>
      <c r="K18" s="274"/>
      <c r="L18" s="274">
        <v>3800</v>
      </c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5"/>
      <c r="AA18" s="275"/>
      <c r="AB18" s="275"/>
      <c r="AC18" s="306">
        <f t="shared" si="0"/>
        <v>3800</v>
      </c>
    </row>
    <row r="19" spans="1:32" x14ac:dyDescent="0.35">
      <c r="A19" s="265">
        <v>15</v>
      </c>
      <c r="B19" s="268" t="s">
        <v>380</v>
      </c>
      <c r="C19" s="273" t="s">
        <v>381</v>
      </c>
      <c r="D19" s="268" t="s">
        <v>279</v>
      </c>
      <c r="E19" s="268" t="s">
        <v>382</v>
      </c>
      <c r="F19" s="274"/>
      <c r="G19" s="274"/>
      <c r="H19" s="274"/>
      <c r="I19" s="274"/>
      <c r="J19" s="274"/>
      <c r="K19" s="274"/>
      <c r="L19" s="274">
        <v>2400</v>
      </c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5"/>
      <c r="AA19" s="275"/>
      <c r="AB19" s="275"/>
      <c r="AC19" s="306">
        <f t="shared" si="0"/>
        <v>2400</v>
      </c>
    </row>
    <row r="20" spans="1:32" x14ac:dyDescent="0.35">
      <c r="A20" s="265">
        <v>16</v>
      </c>
      <c r="B20" s="270" t="s">
        <v>294</v>
      </c>
      <c r="C20" s="280" t="s">
        <v>295</v>
      </c>
      <c r="D20" s="268">
        <v>20</v>
      </c>
      <c r="E20" s="270" t="s">
        <v>290</v>
      </c>
      <c r="F20" s="281"/>
      <c r="G20" s="281"/>
      <c r="H20" s="281"/>
      <c r="I20" s="281"/>
      <c r="J20" s="281"/>
      <c r="K20" s="281"/>
      <c r="L20" s="281">
        <v>1380.19</v>
      </c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  <c r="Z20" s="282"/>
      <c r="AA20" s="282"/>
      <c r="AB20" s="282"/>
      <c r="AC20" s="306">
        <f t="shared" si="0"/>
        <v>1380.19</v>
      </c>
    </row>
    <row r="21" spans="1:32" x14ac:dyDescent="0.35">
      <c r="A21" s="265">
        <v>17</v>
      </c>
      <c r="B21" s="283" t="s">
        <v>428</v>
      </c>
      <c r="C21" s="280" t="s">
        <v>429</v>
      </c>
      <c r="D21" s="268">
        <v>400</v>
      </c>
      <c r="E21" s="270" t="s">
        <v>320</v>
      </c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>
        <v>1400</v>
      </c>
      <c r="S21" s="281">
        <v>0</v>
      </c>
      <c r="T21" s="281"/>
      <c r="U21" s="281"/>
      <c r="V21" s="281"/>
      <c r="W21" s="281"/>
      <c r="X21" s="281"/>
      <c r="Y21" s="281"/>
      <c r="Z21" s="282"/>
      <c r="AA21" s="282"/>
      <c r="AB21" s="282"/>
      <c r="AC21" s="306">
        <f t="shared" si="0"/>
        <v>1400</v>
      </c>
    </row>
    <row r="22" spans="1:32" x14ac:dyDescent="0.35">
      <c r="A22" s="265">
        <v>18</v>
      </c>
      <c r="B22" s="270" t="s">
        <v>296</v>
      </c>
      <c r="C22" s="280" t="s">
        <v>297</v>
      </c>
      <c r="D22" s="270">
        <v>100</v>
      </c>
      <c r="E22" s="270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>
        <v>1500</v>
      </c>
      <c r="T22" s="281"/>
      <c r="U22" s="281"/>
      <c r="V22" s="281"/>
      <c r="W22" s="281"/>
      <c r="X22" s="281"/>
      <c r="Y22" s="281"/>
      <c r="Z22" s="282"/>
      <c r="AA22" s="282"/>
      <c r="AB22" s="282"/>
      <c r="AC22" s="306">
        <f t="shared" si="0"/>
        <v>1500</v>
      </c>
    </row>
    <row r="23" spans="1:32" x14ac:dyDescent="0.35">
      <c r="A23" s="265">
        <v>19</v>
      </c>
      <c r="B23" s="270" t="s">
        <v>296</v>
      </c>
      <c r="C23" s="284" t="s">
        <v>298</v>
      </c>
      <c r="D23" s="270">
        <v>100</v>
      </c>
      <c r="E23" s="270" t="s">
        <v>299</v>
      </c>
      <c r="F23" s="285"/>
      <c r="G23" s="285"/>
      <c r="H23" s="285"/>
      <c r="I23" s="281"/>
      <c r="J23" s="281"/>
      <c r="K23" s="281"/>
      <c r="L23" s="281"/>
      <c r="M23" s="281"/>
      <c r="N23" s="281"/>
      <c r="O23" s="281">
        <v>8000</v>
      </c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2"/>
      <c r="AA23" s="282"/>
      <c r="AB23" s="282"/>
      <c r="AC23" s="306">
        <f t="shared" si="0"/>
        <v>8000</v>
      </c>
    </row>
    <row r="24" spans="1:32" x14ac:dyDescent="0.35">
      <c r="A24" s="265">
        <v>20</v>
      </c>
      <c r="B24" s="270" t="s">
        <v>296</v>
      </c>
      <c r="C24" s="286" t="s">
        <v>300</v>
      </c>
      <c r="D24" s="287">
        <v>300</v>
      </c>
      <c r="E24" s="287"/>
      <c r="F24" s="288"/>
      <c r="G24" s="288"/>
      <c r="H24" s="288"/>
      <c r="I24" s="289"/>
      <c r="J24" s="289"/>
      <c r="K24" s="289"/>
      <c r="L24" s="289"/>
      <c r="M24" s="289"/>
      <c r="N24" s="289"/>
      <c r="O24" s="289"/>
      <c r="P24" s="289">
        <v>3000</v>
      </c>
      <c r="Q24" s="289"/>
      <c r="R24" s="289">
        <v>1500</v>
      </c>
      <c r="S24" s="289"/>
      <c r="T24" s="289"/>
      <c r="U24" s="289"/>
      <c r="V24" s="289"/>
      <c r="W24" s="289"/>
      <c r="X24" s="289"/>
      <c r="Y24" s="289"/>
      <c r="Z24" s="290"/>
      <c r="AA24" s="290"/>
      <c r="AB24" s="290"/>
      <c r="AC24" s="306">
        <f t="shared" si="0"/>
        <v>4500</v>
      </c>
    </row>
    <row r="25" spans="1:32" x14ac:dyDescent="0.35">
      <c r="A25" s="265">
        <v>21</v>
      </c>
      <c r="B25" s="270" t="s">
        <v>383</v>
      </c>
      <c r="C25" s="280" t="s">
        <v>301</v>
      </c>
      <c r="D25" s="270">
        <v>700</v>
      </c>
      <c r="E25" s="270" t="s">
        <v>384</v>
      </c>
      <c r="F25" s="291"/>
      <c r="G25" s="291"/>
      <c r="H25" s="291"/>
      <c r="I25" s="291"/>
      <c r="J25" s="291"/>
      <c r="K25" s="291"/>
      <c r="L25" s="291"/>
      <c r="M25" s="291"/>
      <c r="N25" s="291"/>
      <c r="O25" s="291">
        <v>72000</v>
      </c>
      <c r="P25" s="291"/>
      <c r="Q25" s="291"/>
      <c r="R25" s="291">
        <v>1586</v>
      </c>
      <c r="S25" s="291">
        <v>3153.4</v>
      </c>
      <c r="T25" s="291"/>
      <c r="U25" s="291"/>
      <c r="V25" s="291"/>
      <c r="W25" s="291"/>
      <c r="X25" s="291"/>
      <c r="Y25" s="291"/>
      <c r="Z25" s="292"/>
      <c r="AA25" s="292"/>
      <c r="AB25" s="292"/>
      <c r="AC25" s="306">
        <f t="shared" si="0"/>
        <v>76739.399999999994</v>
      </c>
    </row>
    <row r="26" spans="1:32" x14ac:dyDescent="0.35">
      <c r="A26" s="265">
        <v>22</v>
      </c>
      <c r="B26" s="270" t="s">
        <v>302</v>
      </c>
      <c r="C26" s="280" t="s">
        <v>303</v>
      </c>
      <c r="D26" s="270">
        <v>150</v>
      </c>
      <c r="E26" s="270" t="s">
        <v>304</v>
      </c>
      <c r="F26" s="291"/>
      <c r="G26" s="291"/>
      <c r="H26" s="291"/>
      <c r="I26" s="291"/>
      <c r="J26" s="291"/>
      <c r="K26" s="291"/>
      <c r="L26" s="291"/>
      <c r="M26" s="291"/>
      <c r="N26" s="291"/>
      <c r="O26" s="291">
        <v>900</v>
      </c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2"/>
      <c r="AA26" s="292"/>
      <c r="AB26" s="292"/>
      <c r="AC26" s="306">
        <f t="shared" si="0"/>
        <v>900</v>
      </c>
    </row>
    <row r="27" spans="1:32" x14ac:dyDescent="0.35">
      <c r="A27" s="265">
        <v>23</v>
      </c>
      <c r="B27" s="270" t="s">
        <v>305</v>
      </c>
      <c r="C27" s="280" t="s">
        <v>306</v>
      </c>
      <c r="D27" s="270">
        <v>250</v>
      </c>
      <c r="E27" s="270" t="s">
        <v>385</v>
      </c>
      <c r="F27" s="291"/>
      <c r="G27" s="291"/>
      <c r="H27" s="291"/>
      <c r="I27" s="291"/>
      <c r="J27" s="291"/>
      <c r="K27" s="291"/>
      <c r="L27" s="291"/>
      <c r="M27" s="291"/>
      <c r="N27" s="291"/>
      <c r="O27" s="291">
        <v>7500</v>
      </c>
      <c r="P27" s="291"/>
      <c r="Q27" s="291"/>
      <c r="R27" s="291">
        <v>2000</v>
      </c>
      <c r="S27" s="291">
        <v>2400</v>
      </c>
      <c r="T27" s="291"/>
      <c r="U27" s="291"/>
      <c r="V27" s="291"/>
      <c r="W27" s="291"/>
      <c r="X27" s="291"/>
      <c r="Y27" s="291"/>
      <c r="Z27" s="292"/>
      <c r="AA27" s="292"/>
      <c r="AB27" s="292"/>
      <c r="AC27" s="306">
        <f t="shared" si="0"/>
        <v>11900</v>
      </c>
    </row>
    <row r="28" spans="1:32" x14ac:dyDescent="0.35">
      <c r="A28" s="265">
        <v>24</v>
      </c>
      <c r="B28" s="283" t="s">
        <v>307</v>
      </c>
      <c r="C28" s="280" t="s">
        <v>308</v>
      </c>
      <c r="D28" s="270">
        <v>150</v>
      </c>
      <c r="E28" s="270" t="s">
        <v>309</v>
      </c>
      <c r="F28" s="291"/>
      <c r="G28" s="291"/>
      <c r="H28" s="291"/>
      <c r="I28" s="291"/>
      <c r="J28" s="291"/>
      <c r="K28" s="291"/>
      <c r="L28" s="291"/>
      <c r="M28" s="291"/>
      <c r="N28" s="291"/>
      <c r="O28" s="291">
        <v>1785</v>
      </c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2"/>
      <c r="AA28" s="292"/>
      <c r="AB28" s="292"/>
      <c r="AC28" s="306">
        <f t="shared" si="0"/>
        <v>1785</v>
      </c>
      <c r="AF28" s="307"/>
    </row>
    <row r="29" spans="1:32" x14ac:dyDescent="0.35">
      <c r="A29" s="265">
        <v>25</v>
      </c>
      <c r="B29" s="283" t="s">
        <v>310</v>
      </c>
      <c r="C29" s="280" t="s">
        <v>311</v>
      </c>
      <c r="D29" s="270">
        <v>700</v>
      </c>
      <c r="E29" s="270" t="s">
        <v>312</v>
      </c>
      <c r="F29" s="291"/>
      <c r="G29" s="291"/>
      <c r="H29" s="291"/>
      <c r="I29" s="291"/>
      <c r="J29" s="291"/>
      <c r="K29" s="291"/>
      <c r="L29" s="291"/>
      <c r="M29" s="291"/>
      <c r="N29" s="291"/>
      <c r="O29" s="291">
        <v>2500</v>
      </c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2"/>
      <c r="AA29" s="292"/>
      <c r="AB29" s="292"/>
      <c r="AC29" s="306">
        <f t="shared" si="0"/>
        <v>2500</v>
      </c>
    </row>
    <row r="30" spans="1:32" x14ac:dyDescent="0.35">
      <c r="A30" s="265">
        <v>27</v>
      </c>
      <c r="B30" s="283" t="s">
        <v>424</v>
      </c>
      <c r="C30" s="280" t="s">
        <v>425</v>
      </c>
      <c r="D30" s="270">
        <v>900</v>
      </c>
      <c r="E30" s="270" t="s">
        <v>426</v>
      </c>
      <c r="F30" s="291"/>
      <c r="G30" s="291"/>
      <c r="H30" s="291"/>
      <c r="I30" s="291"/>
      <c r="J30" s="291"/>
      <c r="K30" s="291"/>
      <c r="L30" s="291"/>
      <c r="M30" s="291"/>
      <c r="N30" s="291"/>
      <c r="O30" s="291">
        <v>2500</v>
      </c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335"/>
      <c r="AA30" s="335"/>
      <c r="AB30" s="335"/>
      <c r="AC30" s="306">
        <f t="shared" si="0"/>
        <v>2500</v>
      </c>
    </row>
    <row r="31" spans="1:32" x14ac:dyDescent="0.35">
      <c r="A31" s="265">
        <v>28</v>
      </c>
      <c r="B31" s="270" t="s">
        <v>313</v>
      </c>
      <c r="C31" s="280" t="s">
        <v>314</v>
      </c>
      <c r="D31" s="270">
        <v>2500</v>
      </c>
      <c r="E31" s="270" t="s">
        <v>290</v>
      </c>
      <c r="F31" s="291"/>
      <c r="G31" s="291"/>
      <c r="H31" s="291"/>
      <c r="I31" s="291"/>
      <c r="J31" s="291"/>
      <c r="K31" s="291"/>
      <c r="L31" s="291"/>
      <c r="M31" s="291"/>
      <c r="N31" s="291"/>
      <c r="O31" s="291">
        <f>1334+12895.97</f>
        <v>14229.97</v>
      </c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2"/>
      <c r="AA31" s="292"/>
      <c r="AB31" s="292"/>
      <c r="AC31" s="306">
        <f>SUM(F31:AB31)</f>
        <v>14229.97</v>
      </c>
    </row>
    <row r="32" spans="1:32" x14ac:dyDescent="0.35">
      <c r="A32" s="265">
        <v>29</v>
      </c>
      <c r="B32" s="270" t="s">
        <v>313</v>
      </c>
      <c r="C32" s="280" t="s">
        <v>315</v>
      </c>
      <c r="D32" s="270">
        <v>500</v>
      </c>
      <c r="E32" s="270" t="s">
        <v>290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>
        <v>29500</v>
      </c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2"/>
      <c r="AA32" s="292"/>
      <c r="AB32" s="292"/>
      <c r="AC32" s="306">
        <f t="shared" si="0"/>
        <v>29500</v>
      </c>
    </row>
    <row r="33" spans="1:32" x14ac:dyDescent="0.35">
      <c r="A33" s="265">
        <v>30</v>
      </c>
      <c r="B33" s="293" t="s">
        <v>316</v>
      </c>
      <c r="C33" s="280" t="s">
        <v>317</v>
      </c>
      <c r="D33" s="270">
        <v>50</v>
      </c>
      <c r="E33" s="270" t="s">
        <v>290</v>
      </c>
      <c r="F33" s="291"/>
      <c r="G33" s="291"/>
      <c r="H33" s="291"/>
      <c r="I33" s="291"/>
      <c r="J33" s="291"/>
      <c r="K33" s="291"/>
      <c r="L33" s="291"/>
      <c r="M33" s="291"/>
      <c r="N33" s="291"/>
      <c r="O33" s="291">
        <v>2000</v>
      </c>
      <c r="P33" s="291"/>
      <c r="Q33" s="291"/>
      <c r="R33" s="291"/>
      <c r="S33" s="291"/>
      <c r="T33" s="291"/>
      <c r="U33" s="291"/>
      <c r="V33" s="291"/>
      <c r="W33" s="291"/>
      <c r="X33" s="291">
        <v>500</v>
      </c>
      <c r="Y33" s="291"/>
      <c r="Z33" s="292"/>
      <c r="AA33" s="292"/>
      <c r="AB33" s="292"/>
      <c r="AC33" s="306">
        <f t="shared" si="0"/>
        <v>2500</v>
      </c>
      <c r="AF33" s="307"/>
    </row>
    <row r="34" spans="1:32" x14ac:dyDescent="0.35">
      <c r="A34" s="265">
        <v>31</v>
      </c>
      <c r="B34" s="293" t="s">
        <v>386</v>
      </c>
      <c r="C34" s="308" t="s">
        <v>387</v>
      </c>
      <c r="D34" s="287">
        <v>2000</v>
      </c>
      <c r="E34" s="287" t="s">
        <v>290</v>
      </c>
      <c r="F34" s="309"/>
      <c r="G34" s="309"/>
      <c r="H34" s="309"/>
      <c r="I34" s="309"/>
      <c r="J34" s="309"/>
      <c r="K34" s="309"/>
      <c r="L34" s="309"/>
      <c r="M34" s="309"/>
      <c r="N34" s="309"/>
      <c r="O34" s="309">
        <f>2500</f>
        <v>2500</v>
      </c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10"/>
      <c r="AA34" s="310"/>
      <c r="AB34" s="310"/>
      <c r="AC34" s="306">
        <f t="shared" si="0"/>
        <v>2500</v>
      </c>
    </row>
    <row r="35" spans="1:32" x14ac:dyDescent="0.35">
      <c r="A35" s="265">
        <v>32</v>
      </c>
      <c r="B35" s="270" t="s">
        <v>318</v>
      </c>
      <c r="C35" s="286" t="s">
        <v>319</v>
      </c>
      <c r="D35" s="287">
        <v>1500</v>
      </c>
      <c r="E35" s="287" t="s">
        <v>320</v>
      </c>
      <c r="F35" s="288"/>
      <c r="G35" s="288"/>
      <c r="H35" s="288"/>
      <c r="I35" s="289"/>
      <c r="J35" s="289"/>
      <c r="K35" s="289"/>
      <c r="L35" s="289"/>
      <c r="M35" s="289"/>
      <c r="N35" s="289"/>
      <c r="O35" s="289">
        <v>42000</v>
      </c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90"/>
      <c r="AA35" s="290"/>
      <c r="AB35" s="290"/>
      <c r="AC35" s="306">
        <f t="shared" si="0"/>
        <v>42000</v>
      </c>
    </row>
    <row r="36" spans="1:32" x14ac:dyDescent="0.35">
      <c r="A36" s="265">
        <v>33</v>
      </c>
      <c r="B36" s="270" t="s">
        <v>321</v>
      </c>
      <c r="C36" s="280" t="s">
        <v>322</v>
      </c>
      <c r="D36" s="270">
        <v>200</v>
      </c>
      <c r="E36" s="270" t="s">
        <v>323</v>
      </c>
      <c r="F36" s="291"/>
      <c r="G36" s="291"/>
      <c r="H36" s="291"/>
      <c r="I36" s="291"/>
      <c r="J36" s="291"/>
      <c r="K36" s="291"/>
      <c r="L36" s="291"/>
      <c r="M36" s="291"/>
      <c r="N36" s="291"/>
      <c r="O36" s="291">
        <v>1920</v>
      </c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2"/>
      <c r="AA36" s="292"/>
      <c r="AB36" s="292"/>
      <c r="AC36" s="306">
        <f t="shared" si="0"/>
        <v>1920</v>
      </c>
    </row>
    <row r="37" spans="1:32" x14ac:dyDescent="0.35">
      <c r="A37" s="265">
        <v>34</v>
      </c>
      <c r="B37" s="270" t="s">
        <v>324</v>
      </c>
      <c r="C37" s="280" t="s">
        <v>325</v>
      </c>
      <c r="D37" s="270">
        <v>300</v>
      </c>
      <c r="E37" s="270" t="s">
        <v>290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>
        <v>3000</v>
      </c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2"/>
      <c r="AA37" s="292"/>
      <c r="AB37" s="292"/>
      <c r="AC37" s="306">
        <f t="shared" si="0"/>
        <v>3000</v>
      </c>
    </row>
    <row r="38" spans="1:32" x14ac:dyDescent="0.35">
      <c r="A38" s="265">
        <v>35</v>
      </c>
      <c r="B38" s="270" t="s">
        <v>388</v>
      </c>
      <c r="C38" s="280" t="s">
        <v>389</v>
      </c>
      <c r="D38" s="270">
        <v>300</v>
      </c>
      <c r="E38" s="270" t="s">
        <v>187</v>
      </c>
      <c r="F38" s="291"/>
      <c r="G38" s="291"/>
      <c r="H38" s="291"/>
      <c r="I38" s="291"/>
      <c r="J38" s="291"/>
      <c r="K38" s="291"/>
      <c r="L38" s="291"/>
      <c r="M38" s="291"/>
      <c r="N38" s="291"/>
      <c r="O38" s="291">
        <v>54000</v>
      </c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2"/>
      <c r="AA38" s="292"/>
      <c r="AB38" s="292"/>
      <c r="AC38" s="306">
        <f t="shared" si="0"/>
        <v>54000</v>
      </c>
    </row>
    <row r="39" spans="1:32" x14ac:dyDescent="0.35">
      <c r="A39" s="265">
        <v>36</v>
      </c>
      <c r="B39" s="283">
        <v>45947</v>
      </c>
      <c r="C39" s="280" t="s">
        <v>326</v>
      </c>
      <c r="D39" s="270">
        <v>200</v>
      </c>
      <c r="E39" s="270" t="s">
        <v>427</v>
      </c>
      <c r="F39" s="291"/>
      <c r="G39" s="291"/>
      <c r="H39" s="291"/>
      <c r="I39" s="291"/>
      <c r="J39" s="291"/>
      <c r="K39" s="291"/>
      <c r="L39" s="291"/>
      <c r="M39" s="291"/>
      <c r="N39" s="291"/>
      <c r="O39" s="291">
        <v>950</v>
      </c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2"/>
      <c r="AA39" s="292"/>
      <c r="AB39" s="292"/>
      <c r="AC39" s="306">
        <f t="shared" si="0"/>
        <v>950</v>
      </c>
    </row>
    <row r="40" spans="1:32" x14ac:dyDescent="0.35">
      <c r="AC40" s="307">
        <f>SUM(AC5:AC39)</f>
        <v>340904.56</v>
      </c>
    </row>
    <row r="42" spans="1:32" x14ac:dyDescent="0.35">
      <c r="A42" s="364" t="s">
        <v>327</v>
      </c>
      <c r="B42" s="364"/>
      <c r="C42" s="364"/>
      <c r="D42" s="364"/>
      <c r="E42" s="311"/>
      <c r="I42" s="336"/>
      <c r="M42" s="336"/>
    </row>
    <row r="43" spans="1:32" x14ac:dyDescent="0.35">
      <c r="A43" s="294" t="s">
        <v>328</v>
      </c>
      <c r="B43" s="295" t="s">
        <v>329</v>
      </c>
      <c r="C43" s="296" t="s">
        <v>330</v>
      </c>
      <c r="I43" s="155"/>
    </row>
    <row r="44" spans="1:32" x14ac:dyDescent="0.35">
      <c r="A44" s="297" t="s">
        <v>167</v>
      </c>
      <c r="B44" s="298" t="s">
        <v>331</v>
      </c>
      <c r="C44" s="312">
        <f>151734.8+4000</f>
        <v>155734.79999999999</v>
      </c>
    </row>
    <row r="45" spans="1:32" x14ac:dyDescent="0.35">
      <c r="A45" s="297" t="s">
        <v>170</v>
      </c>
      <c r="B45" s="298" t="s">
        <v>390</v>
      </c>
      <c r="C45" s="312">
        <v>24000</v>
      </c>
      <c r="H45" s="313"/>
    </row>
    <row r="46" spans="1:32" x14ac:dyDescent="0.35">
      <c r="A46" s="297" t="s">
        <v>172</v>
      </c>
      <c r="B46" s="298" t="s">
        <v>391</v>
      </c>
      <c r="C46" s="312">
        <v>10000</v>
      </c>
    </row>
    <row r="47" spans="1:32" x14ac:dyDescent="0.35">
      <c r="A47" s="297" t="s">
        <v>174</v>
      </c>
      <c r="B47" s="298" t="s">
        <v>392</v>
      </c>
      <c r="C47" s="312">
        <v>15000</v>
      </c>
    </row>
    <row r="48" spans="1:32" x14ac:dyDescent="0.35">
      <c r="A48" s="297" t="s">
        <v>176</v>
      </c>
      <c r="B48" s="298" t="s">
        <v>393</v>
      </c>
      <c r="C48" s="312">
        <v>15000</v>
      </c>
    </row>
    <row r="49" spans="1:20" x14ac:dyDescent="0.35">
      <c r="A49" s="297" t="s">
        <v>334</v>
      </c>
      <c r="B49" s="298" t="s">
        <v>394</v>
      </c>
      <c r="C49" s="312">
        <v>15000</v>
      </c>
      <c r="F49" s="155"/>
    </row>
    <row r="50" spans="1:20" x14ac:dyDescent="0.35">
      <c r="A50" s="297" t="s">
        <v>335</v>
      </c>
      <c r="B50" s="298" t="s">
        <v>395</v>
      </c>
      <c r="C50" s="312">
        <v>30000</v>
      </c>
      <c r="I50" s="336"/>
    </row>
    <row r="51" spans="1:20" x14ac:dyDescent="0.35">
      <c r="A51" s="297" t="s">
        <v>337</v>
      </c>
      <c r="B51" s="298" t="s">
        <v>396</v>
      </c>
      <c r="C51" s="299">
        <v>30600</v>
      </c>
      <c r="F51" s="314"/>
    </row>
    <row r="52" spans="1:20" x14ac:dyDescent="0.35">
      <c r="A52" s="297" t="s">
        <v>339</v>
      </c>
      <c r="B52" s="298" t="s">
        <v>332</v>
      </c>
      <c r="C52" s="300">
        <v>11400</v>
      </c>
    </row>
    <row r="53" spans="1:20" x14ac:dyDescent="0.35">
      <c r="A53" s="297" t="s">
        <v>341</v>
      </c>
      <c r="B53" s="301" t="s">
        <v>333</v>
      </c>
      <c r="C53" s="302">
        <v>12000</v>
      </c>
    </row>
    <row r="54" spans="1:20" x14ac:dyDescent="0.35">
      <c r="A54" s="297" t="s">
        <v>343</v>
      </c>
      <c r="B54" s="301" t="s">
        <v>336</v>
      </c>
      <c r="C54" s="302">
        <v>7500</v>
      </c>
    </row>
    <row r="55" spans="1:20" x14ac:dyDescent="0.35">
      <c r="A55" s="297" t="s">
        <v>345</v>
      </c>
      <c r="B55" s="301" t="s">
        <v>338</v>
      </c>
      <c r="C55" s="302">
        <v>2000</v>
      </c>
      <c r="T55" s="313"/>
    </row>
    <row r="56" spans="1:20" x14ac:dyDescent="0.35">
      <c r="A56" s="297" t="s">
        <v>347</v>
      </c>
      <c r="B56" s="298" t="s">
        <v>340</v>
      </c>
      <c r="C56" s="302">
        <v>3500</v>
      </c>
    </row>
    <row r="57" spans="1:20" x14ac:dyDescent="0.35">
      <c r="A57" s="297" t="s">
        <v>349</v>
      </c>
      <c r="B57" s="298" t="s">
        <v>342</v>
      </c>
      <c r="C57" s="302">
        <v>1500</v>
      </c>
    </row>
    <row r="58" spans="1:20" x14ac:dyDescent="0.35">
      <c r="A58" s="297" t="s">
        <v>350</v>
      </c>
      <c r="B58" s="298" t="s">
        <v>344</v>
      </c>
      <c r="C58" s="302">
        <v>3000</v>
      </c>
    </row>
    <row r="59" spans="1:20" x14ac:dyDescent="0.35">
      <c r="A59" s="297" t="s">
        <v>351</v>
      </c>
      <c r="B59" s="298" t="s">
        <v>346</v>
      </c>
      <c r="C59" s="303">
        <v>1500</v>
      </c>
    </row>
    <row r="60" spans="1:20" x14ac:dyDescent="0.35">
      <c r="A60" s="297" t="s">
        <v>352</v>
      </c>
      <c r="B60" s="298" t="s">
        <v>348</v>
      </c>
      <c r="C60" s="303">
        <v>420</v>
      </c>
      <c r="P60" s="313">
        <v>0</v>
      </c>
    </row>
    <row r="61" spans="1:20" x14ac:dyDescent="0.35">
      <c r="A61" s="297"/>
      <c r="B61" s="304" t="s">
        <v>397</v>
      </c>
      <c r="C61" s="302">
        <v>1800</v>
      </c>
      <c r="P61" s="313"/>
    </row>
    <row r="62" spans="1:20" x14ac:dyDescent="0.35">
      <c r="A62" s="297" t="s">
        <v>353</v>
      </c>
      <c r="B62" s="304" t="s">
        <v>354</v>
      </c>
      <c r="C62" s="302">
        <v>950</v>
      </c>
    </row>
    <row r="63" spans="1:20" x14ac:dyDescent="0.35">
      <c r="A63" s="315" t="s">
        <v>51</v>
      </c>
      <c r="B63" s="315"/>
      <c r="C63" s="305">
        <f>SUM(C44:C62)</f>
        <v>340904.8</v>
      </c>
    </row>
  </sheetData>
  <mergeCells count="2">
    <mergeCell ref="A1:AF1"/>
    <mergeCell ref="A42:D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2025</vt:lpstr>
      <vt:lpstr>Organizācijas'25</vt:lpstr>
      <vt:lpstr>Licences</vt:lpstr>
      <vt:lpstr>Valsts</vt:lpstr>
      <vt:lpstr>Birojs_BMX</vt:lpstr>
      <vt:lpstr>Šoseja_MTB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Artis Ozols</dc:creator>
  <cp:lastModifiedBy>admin</cp:lastModifiedBy>
  <cp:lastPrinted>2024-03-20T11:31:32Z</cp:lastPrinted>
  <dcterms:created xsi:type="dcterms:W3CDTF">2021-11-25T11:20:55Z</dcterms:created>
  <dcterms:modified xsi:type="dcterms:W3CDTF">2025-03-14T13:40:09Z</dcterms:modified>
</cp:coreProperties>
</file>