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iso/Library/CloudStorage/Dropbox/BMX/LRF finanses/Tāmes_2023/"/>
    </mc:Choice>
  </mc:AlternateContent>
  <xr:revisionPtr revIDLastSave="0" documentId="13_ncr:1_{1F6C4742-4EE5-BF44-BAC0-C85E9495CB9C}" xr6:coauthVersionLast="47" xr6:coauthVersionMax="47" xr10:uidLastSave="{00000000-0000-0000-0000-000000000000}"/>
  <bookViews>
    <workbookView xWindow="1160" yWindow="1840" windowWidth="25800" windowHeight="14360" xr2:uid="{A39FA6A2-AF8F-064F-B714-FACDF652E2B1}"/>
  </bookViews>
  <sheets>
    <sheet name="2023" sheetId="1" r:id="rId1"/>
    <sheet name="Valsts" sheetId="5" r:id="rId2"/>
    <sheet name="LRF-01" sheetId="2" r:id="rId3"/>
    <sheet name="BMX" sheetId="7" r:id="rId4"/>
    <sheet name="Šos_sacen." sheetId="8" r:id="rId5"/>
    <sheet name="Šos_izlase" sheetId="9" r:id="rId6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16" i="1"/>
  <c r="K26" i="7" l="1"/>
  <c r="L26" i="7"/>
  <c r="L30" i="9"/>
  <c r="K30" i="9"/>
  <c r="J30" i="9"/>
  <c r="I30" i="9"/>
  <c r="H30" i="9"/>
  <c r="G30" i="9"/>
  <c r="F30" i="9"/>
  <c r="E30" i="9"/>
  <c r="C30" i="9"/>
  <c r="B30" i="9"/>
  <c r="M29" i="9"/>
  <c r="M28" i="9"/>
  <c r="M27" i="9"/>
  <c r="M26" i="9"/>
  <c r="M25" i="9"/>
  <c r="M24" i="9"/>
  <c r="M23" i="9"/>
  <c r="D22" i="9"/>
  <c r="M22" i="9" s="1"/>
  <c r="M21" i="9"/>
  <c r="M20" i="9"/>
  <c r="M19" i="9"/>
  <c r="L18" i="9"/>
  <c r="K18" i="9"/>
  <c r="J18" i="9"/>
  <c r="I18" i="9"/>
  <c r="H18" i="9"/>
  <c r="G18" i="9"/>
  <c r="F18" i="9"/>
  <c r="E18" i="9"/>
  <c r="D18" i="9"/>
  <c r="C18" i="9"/>
  <c r="B18" i="9"/>
  <c r="M18" i="9" s="1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L74" i="8"/>
  <c r="J74" i="8"/>
  <c r="Q73" i="8"/>
  <c r="P73" i="8"/>
  <c r="O73" i="8"/>
  <c r="O74" i="8" s="1"/>
  <c r="N73" i="8"/>
  <c r="N74" i="8" s="1"/>
  <c r="M73" i="8"/>
  <c r="M74" i="8" s="1"/>
  <c r="L73" i="8"/>
  <c r="K73" i="8"/>
  <c r="J73" i="8"/>
  <c r="I73" i="8"/>
  <c r="I74" i="8" s="1"/>
  <c r="H73" i="8"/>
  <c r="H74" i="8" s="1"/>
  <c r="G73" i="8"/>
  <c r="G74" i="8" s="1"/>
  <c r="F73" i="8"/>
  <c r="F74" i="8" s="1"/>
  <c r="E73" i="8"/>
  <c r="E74" i="8" s="1"/>
  <c r="C73" i="8"/>
  <c r="S73" i="8" s="1"/>
  <c r="B73" i="8"/>
  <c r="S72" i="8"/>
  <c r="T72" i="8" s="1"/>
  <c r="R72" i="8"/>
  <c r="S70" i="8"/>
  <c r="T70" i="8" s="1"/>
  <c r="R70" i="8"/>
  <c r="S69" i="8"/>
  <c r="T69" i="8" s="1"/>
  <c r="R69" i="8"/>
  <c r="S68" i="8"/>
  <c r="T68" i="8" s="1"/>
  <c r="R68" i="8"/>
  <c r="T67" i="8"/>
  <c r="S67" i="8"/>
  <c r="R67" i="8"/>
  <c r="S66" i="8"/>
  <c r="T66" i="8" s="1"/>
  <c r="R66" i="8"/>
  <c r="S65" i="8"/>
  <c r="T65" i="8" s="1"/>
  <c r="R65" i="8"/>
  <c r="S64" i="8"/>
  <c r="T64" i="8" s="1"/>
  <c r="R64" i="8"/>
  <c r="S63" i="8"/>
  <c r="T63" i="8" s="1"/>
  <c r="R63" i="8"/>
  <c r="S62" i="8"/>
  <c r="D62" i="8"/>
  <c r="D73" i="8" s="1"/>
  <c r="D74" i="8" s="1"/>
  <c r="S61" i="8"/>
  <c r="T61" i="8" s="1"/>
  <c r="R61" i="8"/>
  <c r="S60" i="8"/>
  <c r="T60" i="8" s="1"/>
  <c r="R60" i="8"/>
  <c r="S59" i="8"/>
  <c r="T59" i="8" s="1"/>
  <c r="R59" i="8"/>
  <c r="S58" i="8"/>
  <c r="T58" i="8" s="1"/>
  <c r="R58" i="8"/>
  <c r="S57" i="8"/>
  <c r="R57" i="8"/>
  <c r="S56" i="8"/>
  <c r="T56" i="8" s="1"/>
  <c r="R56" i="8"/>
  <c r="S55" i="8"/>
  <c r="T55" i="8" s="1"/>
  <c r="R55" i="8"/>
  <c r="S54" i="8"/>
  <c r="T54" i="8" s="1"/>
  <c r="R54" i="8"/>
  <c r="S53" i="8"/>
  <c r="T53" i="8" s="1"/>
  <c r="R53" i="8"/>
  <c r="S51" i="8"/>
  <c r="T51" i="8" s="1"/>
  <c r="R51" i="8"/>
  <c r="T50" i="8"/>
  <c r="S50" i="8"/>
  <c r="R50" i="8"/>
  <c r="S49" i="8"/>
  <c r="T49" i="8" s="1"/>
  <c r="R49" i="8"/>
  <c r="S48" i="8"/>
  <c r="T48" i="8" s="1"/>
  <c r="R48" i="8"/>
  <c r="S47" i="8"/>
  <c r="R47" i="8"/>
  <c r="Q46" i="8"/>
  <c r="P46" i="8"/>
  <c r="O46" i="8"/>
  <c r="N46" i="8"/>
  <c r="M46" i="8"/>
  <c r="L46" i="8"/>
  <c r="K46" i="8"/>
  <c r="K74" i="8" s="1"/>
  <c r="J46" i="8"/>
  <c r="I46" i="8"/>
  <c r="H46" i="8"/>
  <c r="G46" i="8"/>
  <c r="F46" i="8"/>
  <c r="E46" i="8"/>
  <c r="D46" i="8"/>
  <c r="C46" i="8"/>
  <c r="S46" i="8" s="1"/>
  <c r="S45" i="8"/>
  <c r="T45" i="8" s="1"/>
  <c r="R45" i="8"/>
  <c r="S44" i="8"/>
  <c r="T44" i="8" s="1"/>
  <c r="R44" i="8"/>
  <c r="R43" i="8"/>
  <c r="O43" i="8"/>
  <c r="S43" i="8" s="1"/>
  <c r="T43" i="8" s="1"/>
  <c r="T42" i="8"/>
  <c r="S42" i="8"/>
  <c r="R42" i="8"/>
  <c r="S41" i="8"/>
  <c r="R41" i="8"/>
  <c r="S40" i="8"/>
  <c r="T40" i="8" s="1"/>
  <c r="R40" i="8"/>
  <c r="R39" i="8"/>
  <c r="O39" i="8"/>
  <c r="S39" i="8" s="1"/>
  <c r="T39" i="8" s="1"/>
  <c r="S38" i="8"/>
  <c r="B38" i="8"/>
  <c r="R38" i="8" s="1"/>
  <c r="S37" i="8"/>
  <c r="B37" i="8"/>
  <c r="R37" i="8" s="1"/>
  <c r="T37" i="8" s="1"/>
  <c r="S36" i="8"/>
  <c r="T36" i="8" s="1"/>
  <c r="R36" i="8"/>
  <c r="S35" i="8"/>
  <c r="T35" i="8" s="1"/>
  <c r="R35" i="8"/>
  <c r="O35" i="8"/>
  <c r="S34" i="8"/>
  <c r="T34" i="8" s="1"/>
  <c r="R34" i="8"/>
  <c r="S33" i="8"/>
  <c r="T33" i="8" s="1"/>
  <c r="R33" i="8"/>
  <c r="S32" i="8"/>
  <c r="T32" i="8" s="1"/>
  <c r="B32" i="8"/>
  <c r="R32" i="8" s="1"/>
  <c r="S31" i="8"/>
  <c r="T31" i="8" s="1"/>
  <c r="R31" i="8"/>
  <c r="R30" i="8"/>
  <c r="O30" i="8"/>
  <c r="S30" i="8" s="1"/>
  <c r="T30" i="8" s="1"/>
  <c r="S29" i="8"/>
  <c r="T29" i="8" s="1"/>
  <c r="R29" i="8"/>
  <c r="S28" i="8"/>
  <c r="T28" i="8" s="1"/>
  <c r="J28" i="8"/>
  <c r="R28" i="8" s="1"/>
  <c r="R27" i="8"/>
  <c r="O27" i="8"/>
  <c r="S27" i="8" s="1"/>
  <c r="T27" i="8" s="1"/>
  <c r="S26" i="8"/>
  <c r="T26" i="8" s="1"/>
  <c r="R26" i="8"/>
  <c r="S25" i="8"/>
  <c r="B25" i="8"/>
  <c r="R25" i="8" s="1"/>
  <c r="S24" i="8"/>
  <c r="T24" i="8" s="1"/>
  <c r="R24" i="8"/>
  <c r="O23" i="8"/>
  <c r="S23" i="8" s="1"/>
  <c r="B23" i="8"/>
  <c r="R23" i="8" s="1"/>
  <c r="S22" i="8"/>
  <c r="T22" i="8" s="1"/>
  <c r="R22" i="8"/>
  <c r="O22" i="8"/>
  <c r="S21" i="8"/>
  <c r="T21" i="8" s="1"/>
  <c r="R21" i="8"/>
  <c r="S20" i="8"/>
  <c r="T20" i="8" s="1"/>
  <c r="R20" i="8"/>
  <c r="R19" i="8"/>
  <c r="O19" i="8"/>
  <c r="S19" i="8" s="1"/>
  <c r="T19" i="8" s="1"/>
  <c r="S18" i="8"/>
  <c r="B18" i="8"/>
  <c r="B46" i="8" s="1"/>
  <c r="R17" i="8"/>
  <c r="O17" i="8"/>
  <c r="S17" i="8" s="1"/>
  <c r="T17" i="8" s="1"/>
  <c r="S16" i="8"/>
  <c r="T16" i="8" s="1"/>
  <c r="R16" i="8"/>
  <c r="S15" i="8"/>
  <c r="T15" i="8" s="1"/>
  <c r="R15" i="8"/>
  <c r="R14" i="8"/>
  <c r="O14" i="8"/>
  <c r="S14" i="8" s="1"/>
  <c r="T14" i="8" s="1"/>
  <c r="S13" i="8"/>
  <c r="T13" i="8" s="1"/>
  <c r="R13" i="8"/>
  <c r="R12" i="8"/>
  <c r="O12" i="8"/>
  <c r="S12" i="8" s="1"/>
  <c r="T12" i="8" s="1"/>
  <c r="S11" i="8"/>
  <c r="T11" i="8" s="1"/>
  <c r="R11" i="8"/>
  <c r="S10" i="8"/>
  <c r="R10" i="8"/>
  <c r="S9" i="8"/>
  <c r="T9" i="8" s="1"/>
  <c r="R9" i="8"/>
  <c r="S8" i="8"/>
  <c r="T8" i="8" s="1"/>
  <c r="R8" i="8"/>
  <c r="T7" i="8"/>
  <c r="S7" i="8"/>
  <c r="R7" i="8"/>
  <c r="S5" i="8"/>
  <c r="T5" i="8" s="1"/>
  <c r="R5" i="8"/>
  <c r="S4" i="8"/>
  <c r="T4" i="8" s="1"/>
  <c r="R4" i="8"/>
  <c r="G47" i="1"/>
  <c r="G52" i="1"/>
  <c r="H55" i="1"/>
  <c r="H54" i="1"/>
  <c r="H53" i="1"/>
  <c r="T56" i="1"/>
  <c r="N56" i="1"/>
  <c r="H56" i="1" s="1"/>
  <c r="T73" i="1"/>
  <c r="J73" i="1"/>
  <c r="H73" i="1" s="1"/>
  <c r="O49" i="1"/>
  <c r="N49" i="1"/>
  <c r="M49" i="1"/>
  <c r="R21" i="7"/>
  <c r="M27" i="7"/>
  <c r="M26" i="7"/>
  <c r="L15" i="7"/>
  <c r="L56" i="7" s="1"/>
  <c r="R57" i="7"/>
  <c r="F67" i="7"/>
  <c r="G56" i="7"/>
  <c r="H56" i="7"/>
  <c r="I56" i="7"/>
  <c r="J56" i="7"/>
  <c r="K56" i="7"/>
  <c r="M56" i="7"/>
  <c r="N56" i="7"/>
  <c r="O56" i="7"/>
  <c r="P56" i="7"/>
  <c r="Q56" i="7"/>
  <c r="F56" i="7"/>
  <c r="R10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R66" i="7"/>
  <c r="R65" i="7"/>
  <c r="R64" i="7"/>
  <c r="R63" i="7"/>
  <c r="R62" i="7"/>
  <c r="R61" i="7"/>
  <c r="R60" i="7"/>
  <c r="R59" i="7"/>
  <c r="R55" i="7"/>
  <c r="R54" i="7"/>
  <c r="R53" i="7"/>
  <c r="R52" i="7"/>
  <c r="R51" i="7"/>
  <c r="R50" i="7"/>
  <c r="R49" i="7"/>
  <c r="R48" i="7"/>
  <c r="R47" i="7"/>
  <c r="R46" i="7"/>
  <c r="R45" i="7"/>
  <c r="R39" i="7"/>
  <c r="R38" i="7"/>
  <c r="R37" i="7"/>
  <c r="R36" i="7"/>
  <c r="R35" i="7"/>
  <c r="R34" i="7"/>
  <c r="R33" i="7"/>
  <c r="R27" i="7"/>
  <c r="R26" i="7"/>
  <c r="R25" i="7"/>
  <c r="R24" i="7"/>
  <c r="R23" i="7"/>
  <c r="R22" i="7"/>
  <c r="R14" i="7"/>
  <c r="R13" i="7"/>
  <c r="R12" i="7"/>
  <c r="R11" i="7"/>
  <c r="D30" i="9" l="1"/>
  <c r="M30" i="9" s="1"/>
  <c r="M31" i="9" s="1"/>
  <c r="S74" i="8"/>
  <c r="T25" i="8"/>
  <c r="R46" i="8"/>
  <c r="B74" i="8"/>
  <c r="T38" i="8"/>
  <c r="T46" i="8"/>
  <c r="T62" i="8"/>
  <c r="T23" i="8"/>
  <c r="R73" i="8"/>
  <c r="C74" i="8"/>
  <c r="R18" i="8"/>
  <c r="T18" i="8" s="1"/>
  <c r="R62" i="8"/>
  <c r="H49" i="1"/>
  <c r="R15" i="7"/>
  <c r="R56" i="7"/>
  <c r="R67" i="7"/>
  <c r="R68" i="7"/>
  <c r="I21" i="2"/>
  <c r="G21" i="2"/>
  <c r="F21" i="2"/>
  <c r="E21" i="2"/>
  <c r="D21" i="2"/>
  <c r="C21" i="2"/>
  <c r="P20" i="2"/>
  <c r="O20" i="2"/>
  <c r="K20" i="2"/>
  <c r="L20" i="2" s="1"/>
  <c r="H20" i="2"/>
  <c r="H21" i="2" s="1"/>
  <c r="F20" i="2"/>
  <c r="J19" i="2"/>
  <c r="P19" i="2" s="1"/>
  <c r="H19" i="2"/>
  <c r="F19" i="2"/>
  <c r="E19" i="2"/>
  <c r="D19" i="2"/>
  <c r="F14" i="2"/>
  <c r="E14" i="2"/>
  <c r="C14" i="2"/>
  <c r="B14" i="2"/>
  <c r="R74" i="8" l="1"/>
  <c r="T73" i="8"/>
  <c r="J21" i="2"/>
  <c r="O19" i="2"/>
  <c r="K19" i="2"/>
  <c r="K21" i="2" l="1"/>
  <c r="L19" i="2"/>
  <c r="L21" i="2" s="1"/>
  <c r="B19" i="5" l="1"/>
  <c r="B8" i="5"/>
  <c r="B5" i="5"/>
  <c r="B4" i="5"/>
  <c r="B3" i="5"/>
  <c r="H51" i="1"/>
  <c r="F86" i="1" l="1"/>
  <c r="F78" i="1"/>
  <c r="F59" i="1"/>
  <c r="F52" i="1"/>
  <c r="F47" i="1"/>
  <c r="F30" i="1"/>
  <c r="F19" i="1"/>
  <c r="F6" i="1"/>
  <c r="G84" i="1"/>
  <c r="G81" i="1"/>
  <c r="G74" i="1"/>
  <c r="G67" i="1"/>
  <c r="G61" i="1"/>
  <c r="G60" i="1"/>
  <c r="F5" i="1" l="1"/>
  <c r="F95" i="1" s="1"/>
  <c r="G90" i="1"/>
  <c r="G86" i="1"/>
  <c r="G78" i="1"/>
  <c r="G59" i="1"/>
  <c r="G30" i="1"/>
  <c r="G19" i="1"/>
  <c r="G16" i="1"/>
  <c r="G6" i="1"/>
  <c r="H93" i="1"/>
  <c r="F93" i="1" s="1"/>
  <c r="H92" i="1"/>
  <c r="F92" i="1" s="1"/>
  <c r="F90" i="1" s="1"/>
  <c r="F58" i="1" s="1"/>
  <c r="F46" i="1" s="1"/>
  <c r="H91" i="1"/>
  <c r="T90" i="1"/>
  <c r="S90" i="1"/>
  <c r="R90" i="1"/>
  <c r="Q90" i="1"/>
  <c r="P90" i="1"/>
  <c r="O90" i="1"/>
  <c r="N90" i="1"/>
  <c r="M90" i="1"/>
  <c r="L90" i="1"/>
  <c r="K90" i="1"/>
  <c r="J90" i="1"/>
  <c r="I90" i="1"/>
  <c r="E90" i="1"/>
  <c r="D90" i="1"/>
  <c r="C90" i="1"/>
  <c r="H89" i="1"/>
  <c r="H88" i="1"/>
  <c r="H87" i="1"/>
  <c r="H86" i="1" s="1"/>
  <c r="T86" i="1"/>
  <c r="S86" i="1"/>
  <c r="R86" i="1"/>
  <c r="Q86" i="1"/>
  <c r="P86" i="1"/>
  <c r="O86" i="1"/>
  <c r="N86" i="1"/>
  <c r="M86" i="1"/>
  <c r="L86" i="1"/>
  <c r="K86" i="1"/>
  <c r="J86" i="1"/>
  <c r="I86" i="1"/>
  <c r="E86" i="1"/>
  <c r="D86" i="1"/>
  <c r="C86" i="1"/>
  <c r="N85" i="1"/>
  <c r="N78" i="1" s="1"/>
  <c r="M85" i="1"/>
  <c r="H84" i="1"/>
  <c r="E84" i="1"/>
  <c r="E78" i="1" s="1"/>
  <c r="H83" i="1"/>
  <c r="H82" i="1"/>
  <c r="H81" i="1"/>
  <c r="L80" i="1"/>
  <c r="L78" i="1" s="1"/>
  <c r="H79" i="1"/>
  <c r="T78" i="1"/>
  <c r="S78" i="1"/>
  <c r="R78" i="1"/>
  <c r="Q78" i="1"/>
  <c r="P78" i="1"/>
  <c r="O78" i="1"/>
  <c r="K78" i="1"/>
  <c r="J78" i="1"/>
  <c r="I78" i="1"/>
  <c r="D78" i="1"/>
  <c r="C78" i="1"/>
  <c r="J77" i="1"/>
  <c r="H77" i="1" s="1"/>
  <c r="H76" i="1"/>
  <c r="H75" i="1"/>
  <c r="J74" i="1"/>
  <c r="H74" i="1" s="1"/>
  <c r="E74" i="1"/>
  <c r="H72" i="1"/>
  <c r="H71" i="1"/>
  <c r="H70" i="1"/>
  <c r="H69" i="1"/>
  <c r="H68" i="1"/>
  <c r="H67" i="1"/>
  <c r="E67" i="1"/>
  <c r="H66" i="1"/>
  <c r="H65" i="1"/>
  <c r="T64" i="1"/>
  <c r="T59" i="1" s="1"/>
  <c r="L64" i="1"/>
  <c r="L59" i="1" s="1"/>
  <c r="H63" i="1"/>
  <c r="J62" i="1"/>
  <c r="H62" i="1" s="1"/>
  <c r="H61" i="1"/>
  <c r="E61" i="1"/>
  <c r="H60" i="1"/>
  <c r="E60" i="1"/>
  <c r="S59" i="1"/>
  <c r="R59" i="1"/>
  <c r="Q59" i="1"/>
  <c r="P59" i="1"/>
  <c r="O59" i="1"/>
  <c r="N59" i="1"/>
  <c r="M59" i="1"/>
  <c r="K59" i="1"/>
  <c r="I59" i="1"/>
  <c r="D59" i="1"/>
  <c r="C59" i="1"/>
  <c r="J52" i="1"/>
  <c r="R57" i="1"/>
  <c r="R52" i="1" s="1"/>
  <c r="N57" i="1"/>
  <c r="O52" i="1"/>
  <c r="M52" i="1"/>
  <c r="S52" i="1"/>
  <c r="Q52" i="1"/>
  <c r="P52" i="1"/>
  <c r="L52" i="1"/>
  <c r="K52" i="1"/>
  <c r="I52" i="1"/>
  <c r="E52" i="1"/>
  <c r="D52" i="1"/>
  <c r="C52" i="1"/>
  <c r="M50" i="1"/>
  <c r="K50" i="1"/>
  <c r="N48" i="1"/>
  <c r="N47" i="1" s="1"/>
  <c r="M48" i="1"/>
  <c r="K48" i="1"/>
  <c r="T47" i="1"/>
  <c r="S47" i="1"/>
  <c r="R47" i="1"/>
  <c r="Q47" i="1"/>
  <c r="P47" i="1"/>
  <c r="O47" i="1"/>
  <c r="L47" i="1"/>
  <c r="J47" i="1"/>
  <c r="I47" i="1"/>
  <c r="E47" i="1"/>
  <c r="D47" i="1"/>
  <c r="C47" i="1"/>
  <c r="H45" i="1"/>
  <c r="H44" i="1"/>
  <c r="H43" i="1"/>
  <c r="E43" i="1"/>
  <c r="H42" i="1"/>
  <c r="H41" i="1"/>
  <c r="H40" i="1"/>
  <c r="E40" i="1"/>
  <c r="H39" i="1"/>
  <c r="H38" i="1"/>
  <c r="H37" i="1"/>
  <c r="H36" i="1"/>
  <c r="H35" i="1"/>
  <c r="H34" i="1"/>
  <c r="H33" i="1"/>
  <c r="H32" i="1"/>
  <c r="H31" i="1"/>
  <c r="E31" i="1"/>
  <c r="T30" i="1"/>
  <c r="S30" i="1"/>
  <c r="R30" i="1"/>
  <c r="Q30" i="1"/>
  <c r="P30" i="1"/>
  <c r="O30" i="1"/>
  <c r="N30" i="1"/>
  <c r="M30" i="1"/>
  <c r="L30" i="1"/>
  <c r="K30" i="1"/>
  <c r="J30" i="1"/>
  <c r="I30" i="1"/>
  <c r="D30" i="1"/>
  <c r="C30" i="1"/>
  <c r="H29" i="1"/>
  <c r="H28" i="1"/>
  <c r="H27" i="1"/>
  <c r="H26" i="1"/>
  <c r="H25" i="1"/>
  <c r="H24" i="1"/>
  <c r="H23" i="1"/>
  <c r="H22" i="1"/>
  <c r="H21" i="1"/>
  <c r="H20" i="1"/>
  <c r="T19" i="1"/>
  <c r="S19" i="1"/>
  <c r="R19" i="1"/>
  <c r="Q19" i="1"/>
  <c r="P19" i="1"/>
  <c r="O19" i="1"/>
  <c r="N19" i="1"/>
  <c r="M19" i="1"/>
  <c r="L19" i="1"/>
  <c r="K19" i="1"/>
  <c r="J19" i="1"/>
  <c r="I19" i="1"/>
  <c r="E19" i="1"/>
  <c r="D19" i="1"/>
  <c r="C19" i="1"/>
  <c r="H18" i="1"/>
  <c r="H17" i="1"/>
  <c r="T16" i="1"/>
  <c r="S16" i="1"/>
  <c r="R16" i="1"/>
  <c r="Q16" i="1"/>
  <c r="P16" i="1"/>
  <c r="O16" i="1"/>
  <c r="N16" i="1"/>
  <c r="M16" i="1"/>
  <c r="L16" i="1"/>
  <c r="K16" i="1"/>
  <c r="J16" i="1"/>
  <c r="I16" i="1"/>
  <c r="E16" i="1"/>
  <c r="D16" i="1"/>
  <c r="C16" i="1"/>
  <c r="H15" i="1"/>
  <c r="H14" i="1"/>
  <c r="H13" i="1"/>
  <c r="H12" i="1"/>
  <c r="O11" i="1"/>
  <c r="H11" i="1" s="1"/>
  <c r="H10" i="1"/>
  <c r="H9" i="1"/>
  <c r="H8" i="1"/>
  <c r="H7" i="1"/>
  <c r="T6" i="1"/>
  <c r="S6" i="1"/>
  <c r="R6" i="1"/>
  <c r="Q6" i="1"/>
  <c r="P6" i="1"/>
  <c r="N6" i="1"/>
  <c r="M6" i="1"/>
  <c r="L6" i="1"/>
  <c r="K6" i="1"/>
  <c r="J6" i="1"/>
  <c r="I6" i="1"/>
  <c r="E6" i="1"/>
  <c r="D6" i="1"/>
  <c r="C6" i="1"/>
  <c r="G58" i="1" l="1"/>
  <c r="G46" i="1"/>
  <c r="H50" i="1"/>
  <c r="E59" i="1"/>
  <c r="E58" i="1" s="1"/>
  <c r="E46" i="1" s="1"/>
  <c r="H57" i="1"/>
  <c r="M47" i="1"/>
  <c r="N58" i="1"/>
  <c r="H80" i="1"/>
  <c r="H78" i="1" s="1"/>
  <c r="M5" i="1"/>
  <c r="H19" i="1"/>
  <c r="C5" i="1"/>
  <c r="H85" i="1"/>
  <c r="T58" i="1"/>
  <c r="C58" i="1"/>
  <c r="C46" i="1" s="1"/>
  <c r="N5" i="1"/>
  <c r="E30" i="1"/>
  <c r="E5" i="1" s="1"/>
  <c r="H48" i="1"/>
  <c r="D58" i="1"/>
  <c r="D46" i="1" s="1"/>
  <c r="O58" i="1"/>
  <c r="O46" i="1" s="1"/>
  <c r="L58" i="1"/>
  <c r="L46" i="1" s="1"/>
  <c r="D5" i="1"/>
  <c r="O6" i="1"/>
  <c r="O5" i="1" s="1"/>
  <c r="G95" i="1"/>
  <c r="H6" i="1"/>
  <c r="L5" i="1"/>
  <c r="T5" i="1"/>
  <c r="R58" i="1"/>
  <c r="R46" i="1" s="1"/>
  <c r="H16" i="1"/>
  <c r="H64" i="1"/>
  <c r="H59" i="1" s="1"/>
  <c r="M78" i="1"/>
  <c r="M58" i="1" s="1"/>
  <c r="K58" i="1"/>
  <c r="S58" i="1"/>
  <c r="S46" i="1" s="1"/>
  <c r="K47" i="1"/>
  <c r="J5" i="1"/>
  <c r="R5" i="1"/>
  <c r="I5" i="1"/>
  <c r="Q5" i="1"/>
  <c r="P58" i="1"/>
  <c r="P46" i="1" s="1"/>
  <c r="P5" i="1"/>
  <c r="H30" i="1"/>
  <c r="K5" i="1"/>
  <c r="S5" i="1"/>
  <c r="T52" i="1"/>
  <c r="N52" i="1"/>
  <c r="I58" i="1"/>
  <c r="I46" i="1" s="1"/>
  <c r="Q58" i="1"/>
  <c r="Q46" i="1" s="1"/>
  <c r="H90" i="1"/>
  <c r="J59" i="1"/>
  <c r="J58" i="1" s="1"/>
  <c r="J46" i="1" s="1"/>
  <c r="M46" i="1" l="1"/>
  <c r="O95" i="1"/>
  <c r="H52" i="1"/>
  <c r="N46" i="1"/>
  <c r="N95" i="1" s="1"/>
  <c r="T46" i="1"/>
  <c r="T95" i="1" s="1"/>
  <c r="H47" i="1"/>
  <c r="Q95" i="1"/>
  <c r="S95" i="1"/>
  <c r="E95" i="1"/>
  <c r="I95" i="1"/>
  <c r="M95" i="1"/>
  <c r="L95" i="1"/>
  <c r="R95" i="1"/>
  <c r="J95" i="1"/>
  <c r="H5" i="1"/>
  <c r="K46" i="1"/>
  <c r="K95" i="1" s="1"/>
  <c r="H58" i="1"/>
  <c r="P95" i="1"/>
  <c r="H46" i="1" l="1"/>
  <c r="H95" i="1" s="1"/>
  <c r="J2" i="5"/>
  <c r="J5" i="5" s="1"/>
  <c r="J3" i="5"/>
  <c r="J4" i="5" l="1"/>
  <c r="D19" i="5" l="1"/>
  <c r="D3" i="5" l="1"/>
  <c r="D15" i="5"/>
  <c r="D17" i="5"/>
  <c r="D16" i="5"/>
  <c r="D5" i="5"/>
  <c r="D4" i="5"/>
  <c r="D8" i="5"/>
  <c r="F14" i="5"/>
  <c r="F7" i="5"/>
  <c r="G11" i="5" s="1"/>
  <c r="F2" i="5"/>
  <c r="G17" i="5" l="1"/>
  <c r="G16" i="5"/>
  <c r="G3" i="5"/>
  <c r="G4" i="5" s="1"/>
  <c r="F19" i="5"/>
  <c r="G15" i="5"/>
  <c r="G5" i="5"/>
  <c r="G8" i="5"/>
  <c r="G9" i="5"/>
  <c r="G10" i="5"/>
</calcChain>
</file>

<file path=xl/sharedStrings.xml><?xml version="1.0" encoding="utf-8"?>
<sst xmlns="http://schemas.openxmlformats.org/spreadsheetml/2006/main" count="502" uniqueCount="392">
  <si>
    <t>LATVIJAS RITEŅBRAUKŠANAS FEDERĀCIJA</t>
  </si>
  <si>
    <t>Reālais 2020</t>
  </si>
  <si>
    <t>Reālais 2021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</si>
  <si>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</si>
  <si>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</si>
  <si>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</si>
  <si>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</si>
  <si>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</si>
  <si>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</si>
  <si>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</si>
  <si>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</si>
  <si>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</si>
  <si>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</si>
  <si>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</si>
  <si>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DEC</t>
  </si>
  <si>
    <t>Naudas atlikums uz perioda sākumu:</t>
  </si>
  <si>
    <t>1.1.</t>
  </si>
  <si>
    <t>LSFP – KOPĀ</t>
  </si>
  <si>
    <t>1.1.1.</t>
  </si>
  <si>
    <t>1.1.2.</t>
  </si>
  <si>
    <t>Latvijas Sporta Federāciju padome – treneru darba algas</t>
  </si>
  <si>
    <t>1.1.3.</t>
  </si>
  <si>
    <t>1.1.4.</t>
  </si>
  <si>
    <t>1.1.5.</t>
  </si>
  <si>
    <t>1.1.6.</t>
  </si>
  <si>
    <t>1.1.7.</t>
  </si>
  <si>
    <t>1.2.</t>
  </si>
  <si>
    <t>IZM – KOPĀ</t>
  </si>
  <si>
    <t>1.2.1.</t>
  </si>
  <si>
    <t>IZM finansējums «Baltic Chain Tour 2020»</t>
  </si>
  <si>
    <t>1.3.</t>
  </si>
  <si>
    <t>LOK – KOPĀ</t>
  </si>
  <si>
    <t>1.3.1.</t>
  </si>
  <si>
    <t>1.3.2.</t>
  </si>
  <si>
    <t>1.3.3.</t>
  </si>
  <si>
    <t>1.3.4.</t>
  </si>
  <si>
    <t>1.3.5.</t>
  </si>
  <si>
    <t>Latvijas Olimpiskā komiteja - TOP50 2020, šoseja</t>
  </si>
  <si>
    <t>1.3.6.</t>
  </si>
  <si>
    <t>Latvijas Olimpiskā komiteja - Tokija 2020, Tehniskā progr., šoseja</t>
  </si>
  <si>
    <t>1.3.7.</t>
  </si>
  <si>
    <t>Latvijas Olimpiskā komiteja - Olimpiskā izcilība 2020, šoseja</t>
  </si>
  <si>
    <t>1.3.8.</t>
  </si>
  <si>
    <t>Latvijas Olimpiskā komiteja - AP - Vienības brauciens</t>
  </si>
  <si>
    <t>1.4.</t>
  </si>
  <si>
    <t>LRF ieņēmumi - KOPĀ</t>
  </si>
  <si>
    <t>1.4.1.</t>
  </si>
  <si>
    <t>1.4.2.</t>
  </si>
  <si>
    <t>Biedru nauda</t>
  </si>
  <si>
    <t>1.4.3.</t>
  </si>
  <si>
    <t>Licences</t>
  </si>
  <si>
    <t>1.4.4.</t>
  </si>
  <si>
    <t>3% ieņēmumi biedrības darbības nodrošināšanai</t>
  </si>
  <si>
    <t>1.4.5.</t>
  </si>
  <si>
    <t>1.4.6.</t>
  </si>
  <si>
    <t>Ziedojumi un dāvinājumi LR fiz.pers. (nauda)</t>
  </si>
  <si>
    <t>1.4.7.</t>
  </si>
  <si>
    <t>1.4.9.</t>
  </si>
  <si>
    <t>1.4.10.</t>
  </si>
  <si>
    <t>1.4.11.</t>
  </si>
  <si>
    <t>2.1.</t>
  </si>
  <si>
    <t>2.1.1.</t>
  </si>
  <si>
    <t xml:space="preserve">BMX izlases </t>
  </si>
  <si>
    <t>2.1.2.</t>
  </si>
  <si>
    <t>MTB izlases</t>
  </si>
  <si>
    <t>2.2.</t>
  </si>
  <si>
    <t>2.2.1.</t>
  </si>
  <si>
    <t>BMX sacensības</t>
  </si>
  <si>
    <t>2.2.2.</t>
  </si>
  <si>
    <t>2.2.4.</t>
  </si>
  <si>
    <t>2.3.</t>
  </si>
  <si>
    <t>Biroja izdevumi</t>
  </si>
  <si>
    <t>2.3.1.</t>
  </si>
  <si>
    <t>2.3.2.</t>
  </si>
  <si>
    <t>2.3.3.</t>
  </si>
  <si>
    <t>Kancelejas preces, datortehnikas progr., poligrāfija u.c.</t>
  </si>
  <si>
    <t>2.3.4.</t>
  </si>
  <si>
    <t>2.3.5.</t>
  </si>
  <si>
    <t>2.3.6.</t>
  </si>
  <si>
    <t>Zvērināts revidents</t>
  </si>
  <si>
    <t>2.3.7.</t>
  </si>
  <si>
    <t>Līgumsaistības (grāmatvedības pakalp)</t>
  </si>
  <si>
    <t>2.3.8.</t>
  </si>
  <si>
    <r>
      <t xml:space="preserve">Līgumsaistības MUN </t>
    </r>
    <r>
      <rPr>
        <sz val="12"/>
        <color theme="1"/>
        <rFont val="Calibri"/>
        <family val="2"/>
        <scheme val="minor"/>
      </rPr>
      <t>(mājas lapas uztur., šos. sacens. org.)</t>
    </r>
  </si>
  <si>
    <t>2.3.9.</t>
  </si>
  <si>
    <r>
      <t xml:space="preserve">Līgumsaistības MUN </t>
    </r>
    <r>
      <rPr>
        <sz val="12"/>
        <color theme="1"/>
        <rFont val="Calibri"/>
        <family val="2"/>
        <scheme val="minor"/>
      </rPr>
      <t>(BMX klubu padomes, BMX sacens. org.)</t>
    </r>
  </si>
  <si>
    <t>2.3.10.</t>
  </si>
  <si>
    <r>
      <t xml:space="preserve">Līgumsaistības MUN </t>
    </r>
    <r>
      <rPr>
        <sz val="12"/>
        <color theme="1"/>
        <rFont val="Calibri"/>
        <family val="2"/>
        <scheme val="minor"/>
      </rPr>
      <t>(LRF sacensību org., preses konf., sem.org.)</t>
    </r>
  </si>
  <si>
    <t>2.3.12.</t>
  </si>
  <si>
    <t>Pamatlīdzekļu iegāde - tālruņi, datori, krēsli u.c.</t>
  </si>
  <si>
    <t>2.3.13.</t>
  </si>
  <si>
    <t>2.3.14.</t>
  </si>
  <si>
    <t>Saimn., reprezent., pasta, u.c. izdevumi</t>
  </si>
  <si>
    <t>2.3.15.</t>
  </si>
  <si>
    <t>Starptautiskās biedru naudas (UCI, UEC, Nordic)</t>
  </si>
  <si>
    <t>2.3.16.</t>
  </si>
  <si>
    <t>Pamatlīdzekļu nolietojums</t>
  </si>
  <si>
    <t>2.3.17.</t>
  </si>
  <si>
    <t>LOK pārādsaistību dzēšana</t>
  </si>
  <si>
    <t>2.3.18.</t>
  </si>
  <si>
    <t>Dažādi</t>
  </si>
  <si>
    <t>2.4.</t>
  </si>
  <si>
    <t>Transporta izdevumi</t>
  </si>
  <si>
    <t>2.4.1.</t>
  </si>
  <si>
    <t>VW Crafter nomaksa</t>
  </si>
  <si>
    <t>2.4.2.</t>
  </si>
  <si>
    <t>VW Crafter apdrošināšana, tehn., remonts</t>
  </si>
  <si>
    <t>2.4.3.</t>
  </si>
  <si>
    <t>Degvielas izdevumi</t>
  </si>
  <si>
    <t>2.4.4.</t>
  </si>
  <si>
    <t>Škoda automašīnu apdrošināšana, tehn., remonts</t>
  </si>
  <si>
    <t>2.4.5.</t>
  </si>
  <si>
    <t>VW Passat līzings</t>
  </si>
  <si>
    <t>2.4.6.</t>
  </si>
  <si>
    <t>VW Passat apdrošināšana, tehn., remonts</t>
  </si>
  <si>
    <t>2.5.</t>
  </si>
  <si>
    <t>Darba samaksa no valsts dotācijām</t>
  </si>
  <si>
    <t>2.5.1.</t>
  </si>
  <si>
    <t>Algas treneriem</t>
  </si>
  <si>
    <t>2.5.2.</t>
  </si>
  <si>
    <t>Sociālie maksājumi</t>
  </si>
  <si>
    <t>2.5.3.</t>
  </si>
  <si>
    <t>Riska valsts nodeva</t>
  </si>
  <si>
    <t>2.6.</t>
  </si>
  <si>
    <t>Darba samaksa no federācijas budž.</t>
  </si>
  <si>
    <t>2.6.1.</t>
  </si>
  <si>
    <t>Algas administrācijai</t>
  </si>
  <si>
    <t>2.6.2.</t>
  </si>
  <si>
    <t>2.6.3.</t>
  </si>
  <si>
    <t>Debitoru atlikums</t>
  </si>
  <si>
    <t>Naudas atlikums perioda beigās</t>
  </si>
  <si>
    <t>Plāns 2022</t>
  </si>
  <si>
    <t>Sakaru pakalpojumi</t>
  </si>
  <si>
    <t>Administratīvie izdevumi</t>
  </si>
  <si>
    <t>IIN</t>
  </si>
  <si>
    <t>DŅ-VSAOI</t>
  </si>
  <si>
    <t>DD-VSAOI</t>
  </si>
  <si>
    <t>RN</t>
  </si>
  <si>
    <t>MUN</t>
  </si>
  <si>
    <t>KOPĀ</t>
  </si>
  <si>
    <t>NETO-DA</t>
  </si>
  <si>
    <t>Bruto DA</t>
  </si>
  <si>
    <t>LRF Izdevumi</t>
  </si>
  <si>
    <t>LRF</t>
  </si>
  <si>
    <t>TOMS</t>
  </si>
  <si>
    <t>ARTIS</t>
  </si>
  <si>
    <t>Reālais 2022</t>
  </si>
  <si>
    <t>1.3.9.</t>
  </si>
  <si>
    <t>1.3.10.</t>
  </si>
  <si>
    <t>Parādes, starta, ikdienas sporta apģērbs un apavi - Tokija 2020</t>
  </si>
  <si>
    <t>IZDEVUMI</t>
  </si>
  <si>
    <t>IEŅĒMUMI</t>
  </si>
  <si>
    <t>Hostinga pakalp., www.uzlabošana, domēns</t>
  </si>
  <si>
    <t>Bankas izd., dažādi</t>
  </si>
  <si>
    <t>Datortehnikas apkalpošana</t>
  </si>
  <si>
    <t>Telpu īre, komunālie (birojs, garāža)</t>
  </si>
  <si>
    <t>Darba algas sākot no 01.02.2022</t>
  </si>
  <si>
    <t>Reāli 2021</t>
  </si>
  <si>
    <t>LSFP pamatfinansējums 21/58</t>
  </si>
  <si>
    <t>LRF biroja izdevumiem</t>
  </si>
  <si>
    <t>Šosejas, MTB sacensību organizēšanai</t>
  </si>
  <si>
    <t>Šosejas, MTB sacensību organizēšana</t>
  </si>
  <si>
    <t>Šosejas elites, junioru un jauniešu izlases</t>
  </si>
  <si>
    <t>Šoseja</t>
  </si>
  <si>
    <t>BMX</t>
  </si>
  <si>
    <t>LRF birojs</t>
  </si>
  <si>
    <t>LOK pamatfinansējums / 4.18.1</t>
  </si>
  <si>
    <t>LOK finansējums par AKSS / 4.18.4</t>
  </si>
  <si>
    <t>Viesnīcas izdevumi</t>
  </si>
  <si>
    <t>Biļetes, bagāžas pārvedumi</t>
  </si>
  <si>
    <t>Sacensību dalības maksa</t>
  </si>
  <si>
    <t>Latvijas Olimpiskā komiteja - LOV sportisti 4.18.2.</t>
  </si>
  <si>
    <t>Latvijas Olimpiskā komiteja - pamatfinansējums 4.18.1.</t>
  </si>
  <si>
    <t>Latvijas Olimpiskā komiteja - augsti sasniegumi 4.18.4.</t>
  </si>
  <si>
    <t>SOK atbalsts treniņi, sacensības - Parīze2024 4.18.5.</t>
  </si>
  <si>
    <t>Biedru naudas</t>
  </si>
  <si>
    <t>MAY</t>
  </si>
  <si>
    <t>OCT</t>
  </si>
  <si>
    <t>Latvijas Olimpiskā komiteja - BMX akadēmija 2020</t>
  </si>
  <si>
    <t>Šosejas, MTB izlases</t>
  </si>
  <si>
    <t>IIN neapliekamais min. (mainīgs lielums)</t>
  </si>
  <si>
    <t>Latvijas Sporta Federāciju padome - pamatfinansējums (21/58) / (22/57)</t>
  </si>
  <si>
    <t>Latvijas Sporta Federāciju padome – AP - LVM maratons/Vivus-MTB (22/02+22/03)</t>
  </si>
  <si>
    <t>1.1.8.</t>
  </si>
  <si>
    <t>Latvijas Sporta Federāciju padome – AP - Pludmales spēles (22/15)</t>
  </si>
  <si>
    <t>Latvijas Sporta Federāciju padome – AP - BMX EK Valmiera (21/10); (22/19)</t>
  </si>
  <si>
    <t>Latvijas Sporta Federāciju padome – Latvijas kauss, šoseja, treneru kursi (22/15)</t>
  </si>
  <si>
    <t>Latvijas Sporta Federāciju padome – AP - Vienības brauciens (21/03); (22/01)</t>
  </si>
  <si>
    <t>1.2.2.</t>
  </si>
  <si>
    <t>IZM finansējums par ASS</t>
  </si>
  <si>
    <t>1.1.9.</t>
  </si>
  <si>
    <t>Latvijas Sporta Federāciju padome – AP - Jauno talantu atbalsts (22/14)</t>
  </si>
  <si>
    <t>Reāli 2022</t>
  </si>
  <si>
    <t>Plāns 2023</t>
  </si>
  <si>
    <t>2.1.3.</t>
  </si>
  <si>
    <t>2.1.4.</t>
  </si>
  <si>
    <t>Latvijas Sporta Federāciju padome – Covid finansējums</t>
  </si>
  <si>
    <t>Ieņēmumi no  pakalpojumiem</t>
  </si>
  <si>
    <t>Licence par "Vienības brauciens" organizēšanu</t>
  </si>
  <si>
    <t>Ziedojumi un dāvinājumi neierobežotai lietošanai - juridiskās personas (nauda)</t>
  </si>
  <si>
    <t>Ziedojumi un dāvinājumi noteiktiem mērķiem - juridiskās personas (nauda)</t>
  </si>
  <si>
    <t>Vispārējie ieņēmumi biedrības darbības nodrošināšanai (dotācijas)</t>
  </si>
  <si>
    <t>Vispārējie ieņēmumi biedrības darbības nodrošināšanai (finansējumi)</t>
  </si>
  <si>
    <t>1.4.13.</t>
  </si>
  <si>
    <t>Ieņēmumi no līdzfinansējuma pasākumos (dalības maksas)</t>
  </si>
  <si>
    <t>1.4.14.</t>
  </si>
  <si>
    <t>Citi ieņēmumi - līdzfinansējumi (vecāki), Jaunatnes fonds</t>
  </si>
  <si>
    <t>1.4.15.</t>
  </si>
  <si>
    <t>Ieņēmumi no līdzfinansējuma pasākumos (startptautiskās organizācijas, pašvaldības)</t>
  </si>
  <si>
    <t>BMX izlases - AP</t>
  </si>
  <si>
    <t>Šosejas, MTB izlases - AP</t>
  </si>
  <si>
    <t>2.2.3.</t>
  </si>
  <si>
    <t>Semināri, izglītības pasākumi</t>
  </si>
  <si>
    <t>2.3.11.</t>
  </si>
  <si>
    <t>Škoda automašīnu reklāmas izmaksas</t>
  </si>
  <si>
    <t>2.4.7.</t>
  </si>
  <si>
    <t>LOV sportisti - BMX</t>
  </si>
  <si>
    <t>LOV sportisti - šoseja, MTB</t>
  </si>
  <si>
    <t>Mēneši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</si>
  <si>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</si>
  <si>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</si>
  <si>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</si>
  <si>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</si>
  <si>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</si>
  <si>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</si>
  <si>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</si>
  <si>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</si>
  <si>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</si>
  <si>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</si>
  <si>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</si>
  <si>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</si>
  <si>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Laiks (dd-dd)</t>
  </si>
  <si>
    <t>Dienu sk.</t>
  </si>
  <si>
    <t xml:space="preserve">Ēdināšanas izdevumi </t>
  </si>
  <si>
    <t>Iekšzemes komandējumu izdevumi</t>
  </si>
  <si>
    <t>Vieta (Valsts, Pilsēta)</t>
  </si>
  <si>
    <t>Pasākums</t>
  </si>
  <si>
    <t>Dal. Skaits (Sp+Tr)</t>
  </si>
  <si>
    <t>Treniņu vietu īre</t>
  </si>
  <si>
    <t>u.c.izdevumi (atšifrēt)</t>
  </si>
  <si>
    <t>1) Ārvalstu komandējumu izdevumi</t>
  </si>
  <si>
    <t xml:space="preserve">Dienas nauda </t>
  </si>
  <si>
    <t>2) Ārvalstu komandējumu izdevumi</t>
  </si>
  <si>
    <t>3) Ārvalstu komandējumu izdevumi</t>
  </si>
  <si>
    <t xml:space="preserve"> </t>
  </si>
  <si>
    <t>Dienas nauda</t>
  </si>
  <si>
    <t xml:space="preserve">Plānotā summa KOPĀ: </t>
  </si>
  <si>
    <t>(EUR)</t>
  </si>
  <si>
    <t>Finanšu avoti vai programma</t>
  </si>
  <si>
    <t>LOK finansējums LOV sportistam</t>
  </si>
  <si>
    <t>plānots</t>
  </si>
  <si>
    <t>u.c. (norādīt)</t>
  </si>
  <si>
    <t xml:space="preserve">Saņemtā summa kopā </t>
  </si>
  <si>
    <t>izsniegts</t>
  </si>
  <si>
    <t>BMX TRENIŅU SACENSĪBU DARBA IZMAKSU TĀME 2023.GADA SEZONAI</t>
  </si>
  <si>
    <t>Federācijas finansējums</t>
  </si>
  <si>
    <t>Rīga</t>
  </si>
  <si>
    <t>BMX LČ</t>
  </si>
  <si>
    <t>01.07.</t>
  </si>
  <si>
    <t>Līdzfinansējums rīkotājam</t>
  </si>
  <si>
    <t>Medaļas, čempionu krekli, klubu kausi</t>
  </si>
  <si>
    <t>BMX PČ</t>
  </si>
  <si>
    <t>Līdzfinansējums BMX</t>
  </si>
  <si>
    <t>Līdzfinansējums BFR</t>
  </si>
  <si>
    <t>BMX EČ</t>
  </si>
  <si>
    <t>BMX pasākumi</t>
  </si>
  <si>
    <t>Šosejas pasākumi</t>
  </si>
  <si>
    <t>Šosejas, MTB sacensības</t>
  </si>
  <si>
    <t>Šosejas, MTB sacensības - AP</t>
  </si>
  <si>
    <t>2.2.5.</t>
  </si>
  <si>
    <t>2023. gada ieņēmumu/ izdevumu tāme</t>
  </si>
  <si>
    <t>Baltijas čempionāts šosejā  (4 dienas)</t>
  </si>
  <si>
    <t xml:space="preserve">Latvijas čempionāts MTB XCO krosā </t>
  </si>
  <si>
    <t>Latvijas čempionāts MTB maratonā</t>
  </si>
  <si>
    <t>Latvijas čempionāts
 MTB Downhill</t>
  </si>
  <si>
    <t>Smiltenes kauss</t>
  </si>
  <si>
    <t>Latvijas rangs</t>
  </si>
  <si>
    <t xml:space="preserve">Biķernieku kauss </t>
  </si>
  <si>
    <t>Baltic Chain tour</t>
  </si>
  <si>
    <t>Summas 
kopā</t>
  </si>
  <si>
    <t>Starpība</t>
  </si>
  <si>
    <t>Pozīcija</t>
  </si>
  <si>
    <t>Plānotais 2023</t>
  </si>
  <si>
    <t>Izdevumi</t>
  </si>
  <si>
    <t>Pārskaitījums Lietuvas RF</t>
  </si>
  <si>
    <t>Pārskaitījums Igaunijas RF</t>
  </si>
  <si>
    <t>Pārskaitījums organizators</t>
  </si>
  <si>
    <t>Līdzfinansējums RSK Tandēms</t>
  </si>
  <si>
    <t>Līdzfinansējums Smiltenes sporta centram</t>
  </si>
  <si>
    <t xml:space="preserve">Pārskaitījums Līvānu veloklubam </t>
  </si>
  <si>
    <t>Pārskaitījums Latvijas Kalnu Riteņbraukšanas attīstības centram</t>
  </si>
  <si>
    <t>Pārskaitījums Latvijas Kalnu riteņbraukšanas apvienībai</t>
  </si>
  <si>
    <t>Tiesnešu darba samaksa</t>
  </si>
  <si>
    <t>Sekretāres (2 gab.) darba samaksa</t>
  </si>
  <si>
    <t>Strādnieku darba samaksa</t>
  </si>
  <si>
    <t>Organizatora darba samaksa</t>
  </si>
  <si>
    <t>Apdrošināšana</t>
  </si>
  <si>
    <t>Medicīna VC4</t>
  </si>
  <si>
    <t>Komunālie pakalpojumi</t>
  </si>
  <si>
    <t>Fotofiniša un numuru īre</t>
  </si>
  <si>
    <t>Karšu izstrāde</t>
  </si>
  <si>
    <t>Rāciju noma</t>
  </si>
  <si>
    <t>Trases īre</t>
  </si>
  <si>
    <t>Balvas kausi medaļas</t>
  </si>
  <si>
    <t xml:space="preserve">Balvu naudas </t>
  </si>
  <si>
    <t xml:space="preserve">Čempionu krekli </t>
  </si>
  <si>
    <t>Tehniskie materiāli</t>
  </si>
  <si>
    <t xml:space="preserve">Poligrāfijas materiāli  </t>
  </si>
  <si>
    <t xml:space="preserve">Ranga vešana </t>
  </si>
  <si>
    <t>Pasākuma vadītājs</t>
  </si>
  <si>
    <t>TV translācijas komentēšana</t>
  </si>
  <si>
    <t>Dzīvošanas izdevumi</t>
  </si>
  <si>
    <t>Ēdināšana</t>
  </si>
  <si>
    <t>Transporta īre</t>
  </si>
  <si>
    <t>Saktuves īre</t>
  </si>
  <si>
    <t>Ekrāna īre</t>
  </si>
  <si>
    <t>Nožogojuma un Starta arkas īre</t>
  </si>
  <si>
    <t>Inventāra noma</t>
  </si>
  <si>
    <t>Apskaņošanas pakalpojumi</t>
  </si>
  <si>
    <t xml:space="preserve">Mediju attiecības </t>
  </si>
  <si>
    <t xml:space="preserve">Ziedi uzvarētājiem </t>
  </si>
  <si>
    <t>Video tiešraides nodrošināšana</t>
  </si>
  <si>
    <t>Fotogrāfs</t>
  </si>
  <si>
    <t>Vizuālais noformējums</t>
  </si>
  <si>
    <t xml:space="preserve">Video </t>
  </si>
  <si>
    <t>Izdevumi kopā:</t>
  </si>
  <si>
    <t>Ieņēmumi</t>
  </si>
  <si>
    <t xml:space="preserve">LSFP 22/57 pamatfinansējums </t>
  </si>
  <si>
    <t xml:space="preserve">LSFP 20/58 Covid - 19 finansējums </t>
  </si>
  <si>
    <t>LSFP  Starptautisko pasākumu finansējums</t>
  </si>
  <si>
    <t>Latvijas Paralimpiskā komiteja</t>
  </si>
  <si>
    <t>Izglītības un zinātnes ministrija</t>
  </si>
  <si>
    <t>Kuldīgas novada pašvaldība</t>
  </si>
  <si>
    <t>Igaunijas Riteņbraukšanas federācija</t>
  </si>
  <si>
    <t>Lietuvas Riteņbraukšanas federācija</t>
  </si>
  <si>
    <t>Hawaii Express reklāmas līgums</t>
  </si>
  <si>
    <t>Velo Express reklāmas līgums</t>
  </si>
  <si>
    <t>Veloprofs rekāmas līgums</t>
  </si>
  <si>
    <t>Talsu novada pašvaldība</t>
  </si>
  <si>
    <t>Ogres novada pašvaldība</t>
  </si>
  <si>
    <t>Jēkabpils novada pašvaldība</t>
  </si>
  <si>
    <t>Dalības maksa</t>
  </si>
  <si>
    <t>Smiltenes novada pašvaldība</t>
  </si>
  <si>
    <t>Rīgas dome</t>
  </si>
  <si>
    <t>AL Mežs</t>
  </si>
  <si>
    <t>Ķikuts</t>
  </si>
  <si>
    <t>Dako</t>
  </si>
  <si>
    <t>Vudlande</t>
  </si>
  <si>
    <t>Vēvers ziedojums</t>
  </si>
  <si>
    <t>Ase</t>
  </si>
  <si>
    <t>Ieņēmumi kopā:</t>
  </si>
  <si>
    <r>
      <t>2023. gada Šosejas/ MTB izlaš</t>
    </r>
    <r>
      <rPr>
        <sz val="11"/>
        <rFont val="Arial"/>
        <family val="2"/>
      </rPr>
      <t>u</t>
    </r>
    <r>
      <rPr>
        <b/>
        <sz val="11"/>
        <rFont val="Arial"/>
        <family val="2"/>
      </rPr>
      <t xml:space="preserve"> ieņēmumu izdevumu tāme</t>
    </r>
  </si>
  <si>
    <t>Transporta uzturēšana</t>
  </si>
  <si>
    <t>Tehniskais nodrošinājums</t>
  </si>
  <si>
    <t>Tour of Estonia</t>
  </si>
  <si>
    <t>Lady Tour of Estonia</t>
  </si>
  <si>
    <t>ORLEN NATIONS Grand Prix (UCI Nations Cup U23)</t>
  </si>
  <si>
    <t>(Juniori) La Coupe du President de la Ville de Grudziądz</t>
  </si>
  <si>
    <t>(U23) Course de la Paix Grand Prix Jeseniky 2023</t>
  </si>
  <si>
    <t xml:space="preserve">Eiropas čempionāts šosejā </t>
  </si>
  <si>
    <t xml:space="preserve">Pasaules čempionāts šosejā </t>
  </si>
  <si>
    <t>Pasaules čempionāts MTB</t>
  </si>
  <si>
    <t>Kopā</t>
  </si>
  <si>
    <t>Degviela</t>
  </si>
  <si>
    <t>Avio Trasports</t>
  </si>
  <si>
    <t>Dzīvošana</t>
  </si>
  <si>
    <t>Dienas naudas</t>
  </si>
  <si>
    <t>Maksas ceļi</t>
  </si>
  <si>
    <t>Auto noma</t>
  </si>
  <si>
    <t>Apdrošināšana personām</t>
  </si>
  <si>
    <t>Apdrošināšana trasports</t>
  </si>
  <si>
    <t>Autoservisa pakalpojumi</t>
  </si>
  <si>
    <t>Velo formas</t>
  </si>
  <si>
    <t>Brīvā laika formas</t>
  </si>
  <si>
    <t>Auto riepas</t>
  </si>
  <si>
    <t>Tehniskā apskate</t>
  </si>
  <si>
    <t>LOK LOV finansējums Krasts, Pluto, Kalveršs</t>
  </si>
  <si>
    <t>LOK LOV finansējums Karbonāri</t>
  </si>
  <si>
    <t>LOK LOV finansējums Skujiņš, Neilands, Liepiņš</t>
  </si>
  <si>
    <t>LOK LOV finansējums Blūms</t>
  </si>
  <si>
    <t>LRF 01</t>
  </si>
  <si>
    <t>Jaunatnes Sporta Fonds</t>
  </si>
  <si>
    <t>Pašvaldības</t>
  </si>
  <si>
    <t>Virši reklāmas līgums</t>
  </si>
  <si>
    <t>Privātie ziedotāji</t>
  </si>
  <si>
    <t>MTN PČ-EČ</t>
  </si>
  <si>
    <t>BFR LČ</t>
  </si>
  <si>
    <t>LK Kopv.</t>
  </si>
  <si>
    <t>Kopējais</t>
  </si>
  <si>
    <t>Valmiera</t>
  </si>
  <si>
    <t>EK 5-6.posms</t>
  </si>
  <si>
    <t>IEŅĒMUMU IZDEVUMU PLĀNS 2023.GADAM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</si>
</sst>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&quot;€&quot;#,##0"/>
    <numFmt numFmtId="165" formatCode="_-* #,##0.00\ _L_s_-;\-* #,##0.00\ _L_s_-;_-* &quot;-&quot;??\ _L_s_-;_-@_-"/>
    <numFmt numFmtId="166" formatCode="_-* #,##0\ _L_s_-;\-* #,##0\ _L_s_-;_-* &quot;-&quot;??\ _L_s_-;_-@_-"/>
  </numFmts>
  <fonts count="48">
    <font>
      <sz val="12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  <charset val="186"/>
    </font>
    <font>
      <b/>
      <sz val="12"/>
      <color indexed="48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indexed="48"/>
      <name val="Arial"/>
      <family val="2"/>
      <charset val="186"/>
    </font>
    <font>
      <b/>
      <sz val="11"/>
      <color theme="1"/>
      <name val="Arial"/>
      <family val="2"/>
    </font>
    <font>
      <sz val="11"/>
      <color indexed="48"/>
      <name val="Arial"/>
      <family val="2"/>
      <charset val="186"/>
    </font>
    <font>
      <sz val="11"/>
      <name val="Arial"/>
      <family val="2"/>
    </font>
    <font>
      <b/>
      <i/>
      <sz val="11"/>
      <color theme="1"/>
      <name val="Arial"/>
      <family val="2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</font>
    <font>
      <i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sz val="7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0"/>
      <color indexed="55"/>
      <name val="Times New Roman"/>
      <family val="1"/>
    </font>
    <font>
      <sz val="10"/>
      <color rgb="FFFF0000"/>
      <name val="Arial"/>
      <family val="2"/>
    </font>
    <font>
      <b/>
      <sz val="14"/>
      <color indexed="12"/>
      <name val="Times New Roman Baltic"/>
      <family val="1"/>
    </font>
    <font>
      <b/>
      <sz val="26"/>
      <name val="Times New Roman"/>
      <family val="1"/>
    </font>
    <font>
      <sz val="10"/>
      <name val="Times New Roman Baltic"/>
      <family val="1"/>
    </font>
    <font>
      <b/>
      <sz val="10"/>
      <name val="Times New Roman Baltic"/>
    </font>
    <font>
      <sz val="10"/>
      <color indexed="12"/>
      <name val="Times New Roman Baltic"/>
      <family val="1"/>
    </font>
    <font>
      <sz val="10"/>
      <color indexed="10"/>
      <name val="Times New Roman Baltic"/>
      <family val="1"/>
    </font>
    <font>
      <b/>
      <sz val="10"/>
      <name val="Times New Roman"/>
      <family val="1"/>
    </font>
    <font>
      <sz val="10"/>
      <color indexed="8"/>
      <name val="Times New Roman Baltic"/>
      <family val="1"/>
    </font>
    <font>
      <b/>
      <sz val="11"/>
      <name val="Times New Roman Baltic"/>
      <family val="1"/>
    </font>
    <font>
      <b/>
      <sz val="9"/>
      <name val="Times New Roman Baltic"/>
      <family val="1"/>
    </font>
    <font>
      <sz val="10"/>
      <color indexed="23"/>
      <name val="Times New Roman Baltic"/>
      <family val="1"/>
    </font>
    <font>
      <i/>
      <sz val="10"/>
      <color theme="0" tint="-0.249977111117893"/>
      <name val="Times New Roman Baltic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8" fillId="0" borderId="0" applyFont="0" applyFill="0" applyBorder="0" applyAlignment="0" applyProtection="0"/>
  </cellStyleXfs>
  <cellXfs count="606">
    <xf numFmtId="0" fontId="0" fillId="0" borderId="0" xfId="0"/>
    <xf numFmtId="0" fontId="2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4" fillId="0" borderId="0" xfId="1" applyFont="1"/>
    <xf numFmtId="3" fontId="4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6" fillId="0" borderId="3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right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3" fontId="3" fillId="4" borderId="10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3" fontId="8" fillId="0" borderId="13" xfId="1" applyNumberFormat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5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3" borderId="11" xfId="1" applyFont="1" applyFill="1" applyBorder="1" applyAlignment="1">
      <alignment horizontal="center"/>
    </xf>
    <xf numFmtId="0" fontId="8" fillId="3" borderId="12" xfId="1" applyFont="1" applyFill="1" applyBorder="1" applyAlignment="1">
      <alignment horizontal="right"/>
    </xf>
    <xf numFmtId="3" fontId="8" fillId="3" borderId="16" xfId="1" applyNumberFormat="1" applyFont="1" applyFill="1" applyBorder="1" applyAlignment="1">
      <alignment horizontal="center"/>
    </xf>
    <xf numFmtId="3" fontId="8" fillId="3" borderId="17" xfId="1" applyNumberFormat="1" applyFont="1" applyFill="1" applyBorder="1" applyAlignment="1">
      <alignment horizontal="center"/>
    </xf>
    <xf numFmtId="3" fontId="3" fillId="4" borderId="14" xfId="1" applyNumberFormat="1" applyFont="1" applyFill="1" applyBorder="1" applyAlignment="1">
      <alignment horizontal="center"/>
    </xf>
    <xf numFmtId="3" fontId="3" fillId="4" borderId="15" xfId="1" applyNumberFormat="1" applyFont="1" applyFill="1" applyBorder="1" applyAlignment="1">
      <alignment horizontal="center"/>
    </xf>
    <xf numFmtId="0" fontId="9" fillId="0" borderId="0" xfId="1" applyFont="1"/>
    <xf numFmtId="0" fontId="10" fillId="0" borderId="18" xfId="1" applyFont="1" applyBorder="1" applyAlignment="1">
      <alignment horizontal="center"/>
    </xf>
    <xf numFmtId="0" fontId="11" fillId="0" borderId="19" xfId="1" applyFont="1" applyBorder="1"/>
    <xf numFmtId="3" fontId="11" fillId="0" borderId="20" xfId="1" applyNumberFormat="1" applyFont="1" applyBorder="1" applyAlignment="1">
      <alignment horizontal="center"/>
    </xf>
    <xf numFmtId="3" fontId="11" fillId="0" borderId="21" xfId="1" applyNumberFormat="1" applyFont="1" applyBorder="1" applyAlignment="1">
      <alignment horizontal="center"/>
    </xf>
    <xf numFmtId="3" fontId="3" fillId="2" borderId="22" xfId="1" applyNumberFormat="1" applyFont="1" applyFill="1" applyBorder="1" applyAlignment="1">
      <alignment horizontal="center"/>
    </xf>
    <xf numFmtId="3" fontId="3" fillId="2" borderId="23" xfId="1" applyNumberFormat="1" applyFont="1" applyFill="1" applyBorder="1" applyAlignment="1">
      <alignment horizontal="center"/>
    </xf>
    <xf numFmtId="0" fontId="11" fillId="0" borderId="0" xfId="1" applyFont="1"/>
    <xf numFmtId="0" fontId="10" fillId="0" borderId="24" xfId="1" applyFont="1" applyBorder="1" applyAlignment="1">
      <alignment horizontal="center"/>
    </xf>
    <xf numFmtId="3" fontId="3" fillId="2" borderId="25" xfId="1" applyNumberFormat="1" applyFont="1" applyFill="1" applyBorder="1" applyAlignment="1">
      <alignment horizontal="center"/>
    </xf>
    <xf numFmtId="3" fontId="11" fillId="0" borderId="27" xfId="1" applyNumberFormat="1" applyFont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3" fontId="3" fillId="2" borderId="10" xfId="1" applyNumberFormat="1" applyFont="1" applyFill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3" fillId="0" borderId="0" xfId="1" applyFont="1"/>
    <xf numFmtId="0" fontId="10" fillId="0" borderId="28" xfId="1" applyFont="1" applyBorder="1" applyAlignment="1">
      <alignment horizontal="center"/>
    </xf>
    <xf numFmtId="3" fontId="3" fillId="2" borderId="29" xfId="1" applyNumberFormat="1" applyFont="1" applyFill="1" applyBorder="1" applyAlignment="1">
      <alignment horizontal="center"/>
    </xf>
    <xf numFmtId="3" fontId="3" fillId="2" borderId="30" xfId="1" applyNumberFormat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8" fillId="3" borderId="31" xfId="1" applyFont="1" applyFill="1" applyBorder="1" applyAlignment="1">
      <alignment horizontal="right"/>
    </xf>
    <xf numFmtId="3" fontId="8" fillId="3" borderId="13" xfId="1" applyNumberFormat="1" applyFont="1" applyFill="1" applyBorder="1" applyAlignment="1">
      <alignment horizontal="center"/>
    </xf>
    <xf numFmtId="3" fontId="3" fillId="4" borderId="32" xfId="1" applyNumberFormat="1" applyFont="1" applyFill="1" applyBorder="1" applyAlignment="1">
      <alignment horizontal="center"/>
    </xf>
    <xf numFmtId="0" fontId="15" fillId="0" borderId="0" xfId="1" applyFont="1"/>
    <xf numFmtId="0" fontId="10" fillId="0" borderId="33" xfId="1" applyFont="1" applyBorder="1" applyAlignment="1">
      <alignment horizontal="center"/>
    </xf>
    <xf numFmtId="0" fontId="10" fillId="0" borderId="34" xfId="1" applyFont="1" applyBorder="1" applyAlignment="1">
      <alignment horizontal="center"/>
    </xf>
    <xf numFmtId="0" fontId="11" fillId="0" borderId="35" xfId="1" applyFont="1" applyBorder="1"/>
    <xf numFmtId="3" fontId="11" fillId="0" borderId="36" xfId="1" applyNumberFormat="1" applyFont="1" applyBorder="1" applyAlignment="1">
      <alignment horizontal="center"/>
    </xf>
    <xf numFmtId="0" fontId="10" fillId="0" borderId="37" xfId="1" applyFont="1" applyBorder="1" applyAlignment="1">
      <alignment horizontal="center"/>
    </xf>
    <xf numFmtId="0" fontId="11" fillId="0" borderId="38" xfId="1" applyFont="1" applyBorder="1"/>
    <xf numFmtId="0" fontId="11" fillId="0" borderId="40" xfId="1" applyFont="1" applyBorder="1"/>
    <xf numFmtId="3" fontId="16" fillId="0" borderId="20" xfId="1" applyNumberFormat="1" applyFont="1" applyBorder="1" applyAlignment="1">
      <alignment horizontal="center"/>
    </xf>
    <xf numFmtId="0" fontId="11" fillId="0" borderId="41" xfId="1" applyFont="1" applyBorder="1"/>
    <xf numFmtId="3" fontId="16" fillId="0" borderId="36" xfId="1" applyNumberFormat="1" applyFont="1" applyBorder="1" applyAlignment="1">
      <alignment horizontal="center"/>
    </xf>
    <xf numFmtId="0" fontId="11" fillId="0" borderId="42" xfId="1" applyFont="1" applyBorder="1"/>
    <xf numFmtId="3" fontId="16" fillId="0" borderId="39" xfId="1" applyNumberFormat="1" applyFont="1" applyBorder="1" applyAlignment="1">
      <alignment horizontal="center"/>
    </xf>
    <xf numFmtId="3" fontId="16" fillId="2" borderId="36" xfId="1" applyNumberFormat="1" applyFont="1" applyFill="1" applyBorder="1" applyAlignment="1">
      <alignment horizontal="center"/>
    </xf>
    <xf numFmtId="0" fontId="10" fillId="0" borderId="43" xfId="1" applyFont="1" applyBorder="1" applyAlignment="1">
      <alignment horizontal="center"/>
    </xf>
    <xf numFmtId="0" fontId="11" fillId="0" borderId="45" xfId="1" applyFont="1" applyBorder="1"/>
    <xf numFmtId="3" fontId="11" fillId="0" borderId="46" xfId="1" applyNumberFormat="1" applyFont="1" applyBorder="1" applyAlignment="1">
      <alignment horizontal="center"/>
    </xf>
    <xf numFmtId="3" fontId="16" fillId="0" borderId="46" xfId="1" applyNumberFormat="1" applyFont="1" applyBorder="1" applyAlignment="1">
      <alignment horizontal="center"/>
    </xf>
    <xf numFmtId="3" fontId="3" fillId="2" borderId="9" xfId="1" applyNumberFormat="1" applyFont="1" applyFill="1" applyBorder="1" applyAlignment="1">
      <alignment horizontal="center" vertical="top" wrapText="1"/>
    </xf>
    <xf numFmtId="3" fontId="3" fillId="2" borderId="10" xfId="1" applyNumberFormat="1" applyFont="1" applyFill="1" applyBorder="1" applyAlignment="1">
      <alignment horizontal="center" vertical="top" wrapText="1"/>
    </xf>
    <xf numFmtId="0" fontId="14" fillId="0" borderId="11" xfId="1" applyFont="1" applyBorder="1" applyAlignment="1">
      <alignment horizontal="center" vertical="center"/>
    </xf>
    <xf numFmtId="0" fontId="8" fillId="0" borderId="4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7" fillId="3" borderId="11" xfId="1" applyFont="1" applyFill="1" applyBorder="1" applyAlignment="1">
      <alignment horizontal="center"/>
    </xf>
    <xf numFmtId="0" fontId="18" fillId="3" borderId="12" xfId="1" applyFont="1" applyFill="1" applyBorder="1"/>
    <xf numFmtId="3" fontId="18" fillId="3" borderId="16" xfId="1" applyNumberFormat="1" applyFont="1" applyFill="1" applyBorder="1" applyAlignment="1">
      <alignment horizontal="center"/>
    </xf>
    <xf numFmtId="3" fontId="18" fillId="3" borderId="17" xfId="1" applyNumberFormat="1" applyFont="1" applyFill="1" applyBorder="1" applyAlignment="1">
      <alignment horizontal="center"/>
    </xf>
    <xf numFmtId="3" fontId="19" fillId="4" borderId="14" xfId="1" applyNumberFormat="1" applyFont="1" applyFill="1" applyBorder="1" applyAlignment="1">
      <alignment horizontal="center"/>
    </xf>
    <xf numFmtId="3" fontId="19" fillId="4" borderId="15" xfId="1" applyNumberFormat="1" applyFont="1" applyFill="1" applyBorder="1" applyAlignment="1">
      <alignment horizontal="center"/>
    </xf>
    <xf numFmtId="0" fontId="20" fillId="0" borderId="0" xfId="1" applyFont="1"/>
    <xf numFmtId="0" fontId="11" fillId="5" borderId="41" xfId="1" applyFont="1" applyFill="1" applyBorder="1"/>
    <xf numFmtId="3" fontId="11" fillId="5" borderId="36" xfId="1" applyNumberFormat="1" applyFont="1" applyFill="1" applyBorder="1" applyAlignment="1">
      <alignment horizontal="center"/>
    </xf>
    <xf numFmtId="3" fontId="3" fillId="6" borderId="25" xfId="1" applyNumberFormat="1" applyFont="1" applyFill="1" applyBorder="1" applyAlignment="1">
      <alignment horizontal="center"/>
    </xf>
    <xf numFmtId="0" fontId="11" fillId="5" borderId="48" xfId="1" applyFont="1" applyFill="1" applyBorder="1"/>
    <xf numFmtId="3" fontId="11" fillId="5" borderId="44" xfId="1" applyNumberFormat="1" applyFont="1" applyFill="1" applyBorder="1" applyAlignment="1">
      <alignment horizontal="center"/>
    </xf>
    <xf numFmtId="0" fontId="11" fillId="5" borderId="49" xfId="1" applyFont="1" applyFill="1" applyBorder="1"/>
    <xf numFmtId="3" fontId="11" fillId="5" borderId="46" xfId="1" applyNumberFormat="1" applyFont="1" applyFill="1" applyBorder="1" applyAlignment="1">
      <alignment horizontal="center"/>
    </xf>
    <xf numFmtId="0" fontId="11" fillId="5" borderId="0" xfId="1" applyFont="1" applyFill="1"/>
    <xf numFmtId="3" fontId="11" fillId="5" borderId="26" xfId="1" applyNumberFormat="1" applyFont="1" applyFill="1" applyBorder="1" applyAlignment="1">
      <alignment horizontal="center"/>
    </xf>
    <xf numFmtId="3" fontId="3" fillId="6" borderId="9" xfId="1" applyNumberFormat="1" applyFont="1" applyFill="1" applyBorder="1" applyAlignment="1">
      <alignment horizontal="center"/>
    </xf>
    <xf numFmtId="3" fontId="3" fillId="6" borderId="10" xfId="1" applyNumberFormat="1" applyFont="1" applyFill="1" applyBorder="1" applyAlignment="1">
      <alignment horizontal="center"/>
    </xf>
    <xf numFmtId="3" fontId="11" fillId="0" borderId="50" xfId="1" applyNumberFormat="1" applyFont="1" applyBorder="1" applyAlignment="1">
      <alignment horizontal="center"/>
    </xf>
    <xf numFmtId="3" fontId="11" fillId="0" borderId="51" xfId="1" applyNumberFormat="1" applyFont="1" applyBorder="1" applyAlignment="1">
      <alignment horizontal="center"/>
    </xf>
    <xf numFmtId="3" fontId="11" fillId="0" borderId="52" xfId="1" applyNumberFormat="1" applyFont="1" applyBorder="1" applyAlignment="1">
      <alignment horizontal="center"/>
    </xf>
    <xf numFmtId="0" fontId="18" fillId="3" borderId="47" xfId="1" applyFont="1" applyFill="1" applyBorder="1"/>
    <xf numFmtId="3" fontId="18" fillId="3" borderId="13" xfId="1" applyNumberFormat="1" applyFont="1" applyFill="1" applyBorder="1" applyAlignment="1">
      <alignment horizontal="center"/>
    </xf>
    <xf numFmtId="3" fontId="18" fillId="3" borderId="12" xfId="1" applyNumberFormat="1" applyFont="1" applyFill="1" applyBorder="1" applyAlignment="1">
      <alignment horizontal="center"/>
    </xf>
    <xf numFmtId="0" fontId="8" fillId="0" borderId="0" xfId="1" applyFont="1"/>
    <xf numFmtId="3" fontId="3" fillId="2" borderId="0" xfId="1" applyNumberFormat="1" applyFont="1" applyFill="1" applyAlignment="1">
      <alignment horizontal="center"/>
    </xf>
    <xf numFmtId="3" fontId="11" fillId="0" borderId="0" xfId="1" applyNumberFormat="1" applyFont="1" applyAlignment="1">
      <alignment horizontal="center"/>
    </xf>
    <xf numFmtId="3" fontId="18" fillId="0" borderId="59" xfId="1" applyNumberFormat="1" applyFont="1" applyBorder="1" applyAlignment="1">
      <alignment horizontal="center"/>
    </xf>
    <xf numFmtId="3" fontId="18" fillId="0" borderId="14" xfId="1" applyNumberFormat="1" applyFont="1" applyBorder="1" applyAlignment="1">
      <alignment horizontal="center"/>
    </xf>
    <xf numFmtId="3" fontId="18" fillId="0" borderId="12" xfId="1" applyNumberFormat="1" applyFont="1" applyBorder="1" applyAlignment="1">
      <alignment horizontal="center"/>
    </xf>
    <xf numFmtId="3" fontId="18" fillId="0" borderId="1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11" fillId="0" borderId="44" xfId="1" applyNumberFormat="1" applyFont="1" applyBorder="1" applyAlignment="1">
      <alignment horizontal="center"/>
    </xf>
    <xf numFmtId="3" fontId="11" fillId="0" borderId="33" xfId="1" applyNumberFormat="1" applyFont="1" applyBorder="1" applyAlignment="1">
      <alignment horizontal="center"/>
    </xf>
    <xf numFmtId="3" fontId="11" fillId="0" borderId="63" xfId="1" applyNumberFormat="1" applyFont="1" applyBorder="1" applyAlignment="1">
      <alignment horizontal="center"/>
    </xf>
    <xf numFmtId="0" fontId="10" fillId="0" borderId="63" xfId="1" applyFont="1" applyBorder="1" applyAlignment="1">
      <alignment horizontal="center"/>
    </xf>
    <xf numFmtId="0" fontId="8" fillId="0" borderId="65" xfId="1" applyFont="1" applyBorder="1" applyAlignment="1">
      <alignment horizontal="right"/>
    </xf>
    <xf numFmtId="3" fontId="8" fillId="0" borderId="66" xfId="1" applyNumberFormat="1" applyFont="1" applyBorder="1" applyAlignment="1">
      <alignment horizontal="center"/>
    </xf>
    <xf numFmtId="3" fontId="3" fillId="2" borderId="67" xfId="1" applyNumberFormat="1" applyFont="1" applyFill="1" applyBorder="1" applyAlignment="1">
      <alignment horizontal="center"/>
    </xf>
    <xf numFmtId="3" fontId="3" fillId="2" borderId="68" xfId="1" applyNumberFormat="1" applyFont="1" applyFill="1" applyBorder="1" applyAlignment="1">
      <alignment horizontal="center"/>
    </xf>
    <xf numFmtId="0" fontId="12" fillId="3" borderId="69" xfId="1" applyFont="1" applyFill="1" applyBorder="1" applyAlignment="1">
      <alignment horizontal="center"/>
    </xf>
    <xf numFmtId="0" fontId="8" fillId="3" borderId="14" xfId="1" applyFont="1" applyFill="1" applyBorder="1"/>
    <xf numFmtId="3" fontId="8" fillId="3" borderId="14" xfId="1" applyNumberFormat="1" applyFont="1" applyFill="1" applyBorder="1" applyAlignment="1">
      <alignment horizontal="center"/>
    </xf>
    <xf numFmtId="3" fontId="8" fillId="3" borderId="15" xfId="1" applyNumberFormat="1" applyFont="1" applyFill="1" applyBorder="1" applyAlignment="1">
      <alignment horizontal="center"/>
    </xf>
    <xf numFmtId="3" fontId="22" fillId="2" borderId="78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2" fillId="0" borderId="70" xfId="0" applyFont="1" applyBorder="1" applyAlignment="1">
      <alignment horizontal="center"/>
    </xf>
    <xf numFmtId="3" fontId="22" fillId="2" borderId="25" xfId="1" applyNumberFormat="1" applyFont="1" applyFill="1" applyBorder="1" applyAlignment="1">
      <alignment horizontal="center"/>
    </xf>
    <xf numFmtId="0" fontId="22" fillId="0" borderId="73" xfId="0" applyFont="1" applyBorder="1" applyAlignment="1">
      <alignment horizontal="center"/>
    </xf>
    <xf numFmtId="1" fontId="22" fillId="0" borderId="83" xfId="0" applyNumberFormat="1" applyFont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0" borderId="74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 wrapText="1"/>
    </xf>
    <xf numFmtId="3" fontId="11" fillId="0" borderId="34" xfId="1" applyNumberFormat="1" applyFont="1" applyBorder="1" applyAlignment="1">
      <alignment horizontal="center"/>
    </xf>
    <xf numFmtId="3" fontId="3" fillId="2" borderId="24" xfId="1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14" fillId="0" borderId="76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24" fillId="0" borderId="75" xfId="0" applyFont="1" applyBorder="1"/>
    <xf numFmtId="164" fontId="24" fillId="0" borderId="74" xfId="0" applyNumberFormat="1" applyFont="1" applyBorder="1"/>
    <xf numFmtId="0" fontId="24" fillId="0" borderId="23" xfId="0" applyFont="1" applyBorder="1"/>
    <xf numFmtId="0" fontId="24" fillId="0" borderId="24" xfId="0" applyFont="1" applyBorder="1"/>
    <xf numFmtId="164" fontId="24" fillId="0" borderId="70" xfId="0" applyNumberFormat="1" applyFont="1" applyBorder="1"/>
    <xf numFmtId="9" fontId="24" fillId="0" borderId="25" xfId="0" applyNumberFormat="1" applyFont="1" applyBorder="1"/>
    <xf numFmtId="164" fontId="24" fillId="0" borderId="25" xfId="0" applyNumberFormat="1" applyFont="1" applyBorder="1"/>
    <xf numFmtId="0" fontId="24" fillId="0" borderId="28" xfId="0" applyFont="1" applyBorder="1"/>
    <xf numFmtId="0" fontId="24" fillId="0" borderId="71" xfId="0" applyFont="1" applyBorder="1"/>
    <xf numFmtId="0" fontId="24" fillId="0" borderId="72" xfId="0" applyFont="1" applyBorder="1"/>
    <xf numFmtId="0" fontId="24" fillId="0" borderId="25" xfId="0" applyFont="1" applyBorder="1"/>
    <xf numFmtId="164" fontId="24" fillId="0" borderId="71" xfId="0" applyNumberFormat="1" applyFont="1" applyBorder="1"/>
    <xf numFmtId="164" fontId="24" fillId="0" borderId="0" xfId="0" applyNumberFormat="1" applyFont="1"/>
    <xf numFmtId="0" fontId="24" fillId="0" borderId="77" xfId="0" applyFont="1" applyBorder="1"/>
    <xf numFmtId="164" fontId="24" fillId="0" borderId="73" xfId="0" applyNumberFormat="1" applyFont="1" applyBorder="1"/>
    <xf numFmtId="9" fontId="24" fillId="0" borderId="58" xfId="0" applyNumberFormat="1" applyFont="1" applyBorder="1"/>
    <xf numFmtId="0" fontId="24" fillId="2" borderId="0" xfId="0" applyFont="1" applyFill="1" applyAlignment="1">
      <alignment horizontal="center"/>
    </xf>
    <xf numFmtId="3" fontId="21" fillId="3" borderId="3" xfId="1" applyNumberFormat="1" applyFont="1" applyFill="1" applyBorder="1" applyAlignment="1">
      <alignment horizontal="center" vertical="center" wrapText="1"/>
    </xf>
    <xf numFmtId="3" fontId="21" fillId="0" borderId="13" xfId="1" applyNumberFormat="1" applyFont="1" applyBorder="1" applyAlignment="1">
      <alignment horizontal="center" vertical="center"/>
    </xf>
    <xf numFmtId="3" fontId="21" fillId="3" borderId="16" xfId="1" applyNumberFormat="1" applyFont="1" applyFill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21" fillId="3" borderId="13" xfId="1" applyNumberFormat="1" applyFont="1" applyFill="1" applyBorder="1" applyAlignment="1">
      <alignment horizontal="center"/>
    </xf>
    <xf numFmtId="3" fontId="1" fillId="0" borderId="36" xfId="1" applyNumberForma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3" fontId="3" fillId="0" borderId="36" xfId="1" applyNumberFormat="1" applyFont="1" applyBorder="1" applyAlignment="1">
      <alignment horizontal="center"/>
    </xf>
    <xf numFmtId="3" fontId="3" fillId="0" borderId="39" xfId="1" applyNumberFormat="1" applyFont="1" applyBorder="1" applyAlignment="1">
      <alignment horizontal="center"/>
    </xf>
    <xf numFmtId="3" fontId="3" fillId="2" borderId="36" xfId="1" applyNumberFormat="1" applyFont="1" applyFill="1" applyBorder="1" applyAlignment="1">
      <alignment horizontal="center"/>
    </xf>
    <xf numFmtId="3" fontId="1" fillId="0" borderId="46" xfId="1" applyNumberFormat="1" applyBorder="1" applyAlignment="1">
      <alignment horizontal="center"/>
    </xf>
    <xf numFmtId="3" fontId="3" fillId="0" borderId="46" xfId="1" applyNumberFormat="1" applyFont="1" applyBorder="1" applyAlignment="1">
      <alignment horizontal="center"/>
    </xf>
    <xf numFmtId="3" fontId="21" fillId="0" borderId="12" xfId="1" applyNumberFormat="1" applyFont="1" applyBorder="1" applyAlignment="1">
      <alignment horizontal="center" vertical="center"/>
    </xf>
    <xf numFmtId="3" fontId="26" fillId="3" borderId="16" xfId="1" applyNumberFormat="1" applyFont="1" applyFill="1" applyBorder="1" applyAlignment="1">
      <alignment horizontal="center"/>
    </xf>
    <xf numFmtId="3" fontId="26" fillId="3" borderId="17" xfId="1" applyNumberFormat="1" applyFont="1" applyFill="1" applyBorder="1" applyAlignment="1">
      <alignment horizontal="center"/>
    </xf>
    <xf numFmtId="3" fontId="1" fillId="0" borderId="21" xfId="1" applyNumberFormat="1" applyBorder="1" applyAlignment="1">
      <alignment horizontal="center"/>
    </xf>
    <xf numFmtId="3" fontId="1" fillId="0" borderId="27" xfId="1" applyNumberFormat="1" applyBorder="1" applyAlignment="1">
      <alignment horizontal="center"/>
    </xf>
    <xf numFmtId="3" fontId="1" fillId="0" borderId="6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3" fontId="1" fillId="0" borderId="63" xfId="1" applyNumberFormat="1" applyBorder="1" applyAlignment="1">
      <alignment horizontal="center"/>
    </xf>
    <xf numFmtId="3" fontId="26" fillId="3" borderId="13" xfId="1" applyNumberFormat="1" applyFont="1" applyFill="1" applyBorder="1" applyAlignment="1">
      <alignment horizontal="center"/>
    </xf>
    <xf numFmtId="3" fontId="21" fillId="3" borderId="14" xfId="1" applyNumberFormat="1" applyFont="1" applyFill="1" applyBorder="1" applyAlignment="1">
      <alignment horizontal="center"/>
    </xf>
    <xf numFmtId="3" fontId="21" fillId="0" borderId="66" xfId="1" applyNumberFormat="1" applyFont="1" applyBorder="1" applyAlignment="1">
      <alignment horizontal="center"/>
    </xf>
    <xf numFmtId="0" fontId="27" fillId="0" borderId="0" xfId="0" applyFont="1" applyAlignment="1">
      <alignment wrapText="1"/>
    </xf>
    <xf numFmtId="10" fontId="0" fillId="0" borderId="0" xfId="0" applyNumberFormat="1"/>
    <xf numFmtId="4" fontId="0" fillId="0" borderId="0" xfId="0" applyNumberFormat="1"/>
    <xf numFmtId="0" fontId="11" fillId="0" borderId="87" xfId="1" applyFont="1" applyBorder="1"/>
    <xf numFmtId="3" fontId="11" fillId="0" borderId="88" xfId="1" applyNumberFormat="1" applyFont="1" applyBorder="1" applyAlignment="1">
      <alignment horizontal="center"/>
    </xf>
    <xf numFmtId="3" fontId="3" fillId="2" borderId="89" xfId="1" applyNumberFormat="1" applyFont="1" applyFill="1" applyBorder="1" applyAlignment="1">
      <alignment horizontal="center"/>
    </xf>
    <xf numFmtId="0" fontId="11" fillId="0" borderId="90" xfId="1" applyFont="1" applyBorder="1"/>
    <xf numFmtId="3" fontId="1" fillId="0" borderId="91" xfId="1" applyNumberFormat="1" applyBorder="1" applyAlignment="1">
      <alignment horizontal="center"/>
    </xf>
    <xf numFmtId="3" fontId="11" fillId="0" borderId="91" xfId="1" applyNumberFormat="1" applyFont="1" applyBorder="1" applyAlignment="1">
      <alignment horizontal="center"/>
    </xf>
    <xf numFmtId="3" fontId="11" fillId="0" borderId="92" xfId="1" applyNumberFormat="1" applyFont="1" applyBorder="1" applyAlignment="1">
      <alignment horizontal="center"/>
    </xf>
    <xf numFmtId="3" fontId="1" fillId="0" borderId="72" xfId="1" applyNumberFormat="1" applyBorder="1" applyAlignment="1">
      <alignment horizontal="center"/>
    </xf>
    <xf numFmtId="3" fontId="11" fillId="0" borderId="72" xfId="1" applyNumberFormat="1" applyFont="1" applyBorder="1" applyAlignment="1">
      <alignment horizontal="center"/>
    </xf>
    <xf numFmtId="3" fontId="3" fillId="2" borderId="93" xfId="1" applyNumberFormat="1" applyFont="1" applyFill="1" applyBorder="1" applyAlignment="1">
      <alignment horizontal="center"/>
    </xf>
    <xf numFmtId="0" fontId="10" fillId="0" borderId="76" xfId="1" applyFont="1" applyBorder="1" applyAlignment="1">
      <alignment horizontal="center"/>
    </xf>
    <xf numFmtId="0" fontId="11" fillId="0" borderId="84" xfId="1" applyFont="1" applyBorder="1"/>
    <xf numFmtId="3" fontId="1" fillId="0" borderId="94" xfId="1" applyNumberFormat="1" applyBorder="1" applyAlignment="1">
      <alignment horizontal="center"/>
    </xf>
    <xf numFmtId="3" fontId="11" fillId="0" borderId="94" xfId="1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6" xfId="1" applyNumberFormat="1" applyFont="1" applyFill="1" applyBorder="1" applyAlignment="1">
      <alignment horizontal="center"/>
    </xf>
    <xf numFmtId="3" fontId="1" fillId="0" borderId="39" xfId="1" applyNumberForma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1" fillId="2" borderId="36" xfId="1" applyNumberFormat="1" applyFill="1" applyBorder="1" applyAlignment="1">
      <alignment horizontal="center"/>
    </xf>
    <xf numFmtId="0" fontId="24" fillId="0" borderId="37" xfId="1" applyFont="1" applyBorder="1" applyAlignment="1">
      <alignment horizontal="center" vertical="top" wrapText="1"/>
    </xf>
    <xf numFmtId="0" fontId="16" fillId="0" borderId="42" xfId="1" applyFont="1" applyBorder="1" applyAlignment="1">
      <alignment vertical="top" wrapText="1"/>
    </xf>
    <xf numFmtId="3" fontId="3" fillId="0" borderId="39" xfId="1" applyNumberFormat="1" applyFont="1" applyBorder="1" applyAlignment="1">
      <alignment horizontal="center" vertical="top" wrapText="1"/>
    </xf>
    <xf numFmtId="3" fontId="16" fillId="0" borderId="39" xfId="1" applyNumberFormat="1" applyFont="1" applyBorder="1" applyAlignment="1">
      <alignment horizontal="center" vertical="top" wrapText="1"/>
    </xf>
    <xf numFmtId="0" fontId="16" fillId="0" borderId="0" xfId="1" applyFont="1" applyAlignment="1">
      <alignment vertical="top" wrapText="1"/>
    </xf>
    <xf numFmtId="3" fontId="3" fillId="0" borderId="22" xfId="1" applyNumberFormat="1" applyFont="1" applyBorder="1" applyAlignment="1">
      <alignment horizontal="center"/>
    </xf>
    <xf numFmtId="3" fontId="3" fillId="0" borderId="89" xfId="1" applyNumberFormat="1" applyFont="1" applyBorder="1" applyAlignment="1">
      <alignment horizontal="center"/>
    </xf>
    <xf numFmtId="3" fontId="19" fillId="0" borderId="14" xfId="1" applyNumberFormat="1" applyFont="1" applyBorder="1" applyAlignment="1">
      <alignment horizontal="center"/>
    </xf>
    <xf numFmtId="3" fontId="1" fillId="0" borderId="44" xfId="1" applyNumberFormat="1" applyBorder="1" applyAlignment="1">
      <alignment horizontal="center"/>
    </xf>
    <xf numFmtId="3" fontId="11" fillId="0" borderId="95" xfId="1" applyNumberFormat="1" applyFont="1" applyBorder="1" applyAlignment="1">
      <alignment horizontal="center"/>
    </xf>
    <xf numFmtId="3" fontId="3" fillId="0" borderId="25" xfId="1" applyNumberFormat="1" applyFont="1" applyBorder="1" applyAlignment="1">
      <alignment horizontal="center"/>
    </xf>
    <xf numFmtId="3" fontId="3" fillId="6" borderId="89" xfId="1" applyNumberFormat="1" applyFont="1" applyFill="1" applyBorder="1" applyAlignment="1">
      <alignment horizontal="center"/>
    </xf>
    <xf numFmtId="3" fontId="1" fillId="5" borderId="26" xfId="1" applyNumberFormat="1" applyFill="1" applyBorder="1" applyAlignment="1">
      <alignment horizontal="center"/>
    </xf>
    <xf numFmtId="3" fontId="1" fillId="0" borderId="50" xfId="1" applyNumberFormat="1" applyBorder="1" applyAlignment="1">
      <alignment horizontal="center"/>
    </xf>
    <xf numFmtId="3" fontId="1" fillId="0" borderId="51" xfId="1" applyNumberFormat="1" applyBorder="1" applyAlignment="1">
      <alignment horizontal="center"/>
    </xf>
    <xf numFmtId="3" fontId="1" fillId="0" borderId="52" xfId="1" applyNumberFormat="1" applyBorder="1" applyAlignment="1">
      <alignment horizontal="center"/>
    </xf>
    <xf numFmtId="3" fontId="11" fillId="0" borderId="96" xfId="1" applyNumberFormat="1" applyFont="1" applyBorder="1" applyAlignment="1">
      <alignment horizontal="center"/>
    </xf>
    <xf numFmtId="3" fontId="11" fillId="0" borderId="82" xfId="1" applyNumberFormat="1" applyFont="1" applyBorder="1" applyAlignment="1">
      <alignment horizontal="center"/>
    </xf>
    <xf numFmtId="3" fontId="11" fillId="0" borderId="49" xfId="1" applyNumberFormat="1" applyFont="1" applyBorder="1" applyAlignment="1">
      <alignment horizontal="center"/>
    </xf>
    <xf numFmtId="3" fontId="11" fillId="0" borderId="76" xfId="1" applyNumberFormat="1" applyFont="1" applyBorder="1" applyAlignment="1">
      <alignment horizontal="center"/>
    </xf>
    <xf numFmtId="3" fontId="22" fillId="2" borderId="89" xfId="1" applyNumberFormat="1" applyFont="1" applyFill="1" applyBorder="1" applyAlignment="1">
      <alignment horizontal="center"/>
    </xf>
    <xf numFmtId="3" fontId="22" fillId="2" borderId="98" xfId="1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7" fillId="0" borderId="99" xfId="0" applyFont="1" applyBorder="1" applyAlignment="1" applyProtection="1">
      <alignment horizontal="left"/>
      <protection locked="0"/>
    </xf>
    <xf numFmtId="0" fontId="0" fillId="0" borderId="9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3" fillId="0" borderId="0" xfId="0" applyFont="1" applyAlignment="1" applyProtection="1">
      <alignment vertical="center"/>
      <protection locked="0"/>
    </xf>
    <xf numFmtId="0" fontId="34" fillId="7" borderId="75" xfId="0" applyFont="1" applyFill="1" applyBorder="1" applyProtection="1">
      <protection locked="0"/>
    </xf>
    <xf numFmtId="0" fontId="34" fillId="7" borderId="12" xfId="0" applyFont="1" applyFill="1" applyBorder="1" applyProtection="1">
      <protection locked="0"/>
    </xf>
    <xf numFmtId="0" fontId="34" fillId="7" borderId="11" xfId="0" applyFont="1" applyFill="1" applyBorder="1" applyAlignment="1" applyProtection="1">
      <alignment horizontal="right"/>
      <protection locked="0"/>
    </xf>
    <xf numFmtId="0" fontId="34" fillId="7" borderId="100" xfId="0" applyFont="1" applyFill="1" applyBorder="1" applyAlignment="1" applyProtection="1">
      <alignment horizontal="center"/>
      <protection locked="0"/>
    </xf>
    <xf numFmtId="0" fontId="34" fillId="7" borderId="101" xfId="0" applyFont="1" applyFill="1" applyBorder="1" applyAlignment="1" applyProtection="1">
      <alignment horizontal="center"/>
      <protection locked="0"/>
    </xf>
    <xf numFmtId="0" fontId="34" fillId="7" borderId="102" xfId="0" applyFont="1" applyFill="1" applyBorder="1" applyAlignment="1" applyProtection="1">
      <alignment horizontal="center"/>
      <protection locked="0"/>
    </xf>
    <xf numFmtId="0" fontId="34" fillId="7" borderId="103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5" fillId="7" borderId="71" xfId="0" applyFont="1" applyFill="1" applyBorder="1" applyProtection="1">
      <protection locked="0"/>
    </xf>
    <xf numFmtId="0" fontId="35" fillId="7" borderId="0" xfId="0" applyFont="1" applyFill="1" applyProtection="1">
      <protection locked="0"/>
    </xf>
    <xf numFmtId="49" fontId="36" fillId="7" borderId="106" xfId="0" applyNumberFormat="1" applyFont="1" applyFill="1" applyBorder="1" applyAlignment="1" applyProtection="1">
      <alignment horizontal="center"/>
      <protection locked="0"/>
    </xf>
    <xf numFmtId="49" fontId="36" fillId="7" borderId="107" xfId="0" applyNumberFormat="1" applyFont="1" applyFill="1" applyBorder="1" applyAlignment="1" applyProtection="1">
      <alignment horizontal="center"/>
      <protection locked="0"/>
    </xf>
    <xf numFmtId="49" fontId="36" fillId="7" borderId="108" xfId="0" applyNumberFormat="1" applyFont="1" applyFill="1" applyBorder="1" applyAlignment="1" applyProtection="1">
      <alignment horizontal="center"/>
      <protection locked="0"/>
    </xf>
    <xf numFmtId="49" fontId="34" fillId="8" borderId="109" xfId="0" applyNumberFormat="1" applyFont="1" applyFill="1" applyBorder="1" applyAlignment="1">
      <alignment horizontal="center"/>
    </xf>
    <xf numFmtId="0" fontId="34" fillId="7" borderId="71" xfId="0" applyFont="1" applyFill="1" applyBorder="1" applyProtection="1">
      <protection locked="0"/>
    </xf>
    <xf numFmtId="0" fontId="34" fillId="7" borderId="0" xfId="0" applyFont="1" applyFill="1" applyProtection="1">
      <protection locked="0"/>
    </xf>
    <xf numFmtId="0" fontId="34" fillId="7" borderId="111" xfId="0" applyFont="1" applyFill="1" applyBorder="1" applyAlignment="1" applyProtection="1">
      <alignment horizontal="center"/>
      <protection locked="0"/>
    </xf>
    <xf numFmtId="49" fontId="36" fillId="0" borderId="113" xfId="0" applyNumberFormat="1" applyFont="1" applyBorder="1" applyAlignment="1" applyProtection="1">
      <alignment horizontal="center"/>
      <protection locked="0"/>
    </xf>
    <xf numFmtId="49" fontId="36" fillId="7" borderId="115" xfId="0" applyNumberFormat="1" applyFont="1" applyFill="1" applyBorder="1" applyAlignment="1" applyProtection="1">
      <alignment horizontal="center"/>
      <protection locked="0"/>
    </xf>
    <xf numFmtId="49" fontId="34" fillId="8" borderId="116" xfId="0" applyNumberFormat="1" applyFont="1" applyFill="1" applyBorder="1" applyAlignment="1">
      <alignment horizontal="center"/>
    </xf>
    <xf numFmtId="49" fontId="36" fillId="0" borderId="117" xfId="0" applyNumberFormat="1" applyFont="1" applyBorder="1" applyAlignment="1" applyProtection="1">
      <alignment horizontal="center"/>
      <protection locked="0"/>
    </xf>
    <xf numFmtId="49" fontId="36" fillId="0" borderId="118" xfId="0" applyNumberFormat="1" applyFont="1" applyBorder="1" applyAlignment="1" applyProtection="1">
      <alignment horizontal="center"/>
      <protection locked="0"/>
    </xf>
    <xf numFmtId="49" fontId="36" fillId="0" borderId="119" xfId="0" applyNumberFormat="1" applyFont="1" applyBorder="1" applyAlignment="1" applyProtection="1">
      <alignment horizontal="center"/>
      <protection locked="0"/>
    </xf>
    <xf numFmtId="49" fontId="34" fillId="8" borderId="120" xfId="0" applyNumberFormat="1" applyFont="1" applyFill="1" applyBorder="1" applyAlignment="1">
      <alignment horizontal="center"/>
    </xf>
    <xf numFmtId="0" fontId="34" fillId="7" borderId="121" xfId="0" applyFont="1" applyFill="1" applyBorder="1" applyProtection="1">
      <protection locked="0"/>
    </xf>
    <xf numFmtId="165" fontId="34" fillId="7" borderId="124" xfId="0" applyNumberFormat="1" applyFont="1" applyFill="1" applyBorder="1" applyAlignment="1" applyProtection="1">
      <alignment horizontal="center"/>
      <protection locked="0"/>
    </xf>
    <xf numFmtId="165" fontId="34" fillId="7" borderId="125" xfId="0" applyNumberFormat="1" applyFont="1" applyFill="1" applyBorder="1" applyAlignment="1" applyProtection="1">
      <alignment horizontal="center"/>
      <protection locked="0"/>
    </xf>
    <xf numFmtId="165" fontId="34" fillId="7" borderId="126" xfId="0" applyNumberFormat="1" applyFont="1" applyFill="1" applyBorder="1" applyAlignment="1" applyProtection="1">
      <alignment horizontal="center"/>
      <protection locked="0"/>
    </xf>
    <xf numFmtId="165" fontId="34" fillId="7" borderId="127" xfId="0" applyNumberFormat="1" applyFont="1" applyFill="1" applyBorder="1" applyAlignment="1" applyProtection="1">
      <alignment horizontal="center"/>
      <protection locked="0"/>
    </xf>
    <xf numFmtId="165" fontId="35" fillId="8" borderId="128" xfId="0" applyNumberFormat="1" applyFont="1" applyFill="1" applyBorder="1" applyAlignment="1">
      <alignment horizontal="center"/>
    </xf>
    <xf numFmtId="0" fontId="35" fillId="7" borderId="129" xfId="0" applyFont="1" applyFill="1" applyBorder="1" applyProtection="1">
      <protection locked="0"/>
    </xf>
    <xf numFmtId="0" fontId="35" fillId="7" borderId="8" xfId="0" applyFont="1" applyFill="1" applyBorder="1" applyProtection="1">
      <protection locked="0"/>
    </xf>
    <xf numFmtId="49" fontId="36" fillId="7" borderId="130" xfId="0" applyNumberFormat="1" applyFont="1" applyFill="1" applyBorder="1" applyAlignment="1" applyProtection="1">
      <alignment horizontal="center"/>
      <protection locked="0"/>
    </xf>
    <xf numFmtId="49" fontId="36" fillId="7" borderId="131" xfId="0" applyNumberFormat="1" applyFont="1" applyFill="1" applyBorder="1" applyAlignment="1" applyProtection="1">
      <alignment horizontal="center"/>
      <protection locked="0"/>
    </xf>
    <xf numFmtId="49" fontId="36" fillId="7" borderId="132" xfId="0" applyNumberFormat="1" applyFont="1" applyFill="1" applyBorder="1" applyAlignment="1" applyProtection="1">
      <alignment horizontal="center"/>
      <protection locked="0"/>
    </xf>
    <xf numFmtId="49" fontId="36" fillId="7" borderId="133" xfId="0" applyNumberFormat="1" applyFont="1" applyFill="1" applyBorder="1" applyAlignment="1" applyProtection="1">
      <alignment horizontal="center"/>
      <protection locked="0"/>
    </xf>
    <xf numFmtId="49" fontId="34" fillId="8" borderId="134" xfId="0" applyNumberFormat="1" applyFont="1" applyFill="1" applyBorder="1" applyAlignment="1">
      <alignment horizontal="center"/>
    </xf>
    <xf numFmtId="49" fontId="36" fillId="7" borderId="135" xfId="0" applyNumberFormat="1" applyFont="1" applyFill="1" applyBorder="1" applyAlignment="1" applyProtection="1">
      <alignment horizontal="center"/>
      <protection locked="0"/>
    </xf>
    <xf numFmtId="49" fontId="36" fillId="7" borderId="112" xfId="0" applyNumberFormat="1" applyFont="1" applyFill="1" applyBorder="1" applyAlignment="1" applyProtection="1">
      <alignment horizontal="center"/>
      <protection locked="0"/>
    </xf>
    <xf numFmtId="49" fontId="36" fillId="7" borderId="113" xfId="0" applyNumberFormat="1" applyFont="1" applyFill="1" applyBorder="1" applyAlignment="1" applyProtection="1">
      <alignment horizontal="center"/>
      <protection locked="0"/>
    </xf>
    <xf numFmtId="49" fontId="36" fillId="7" borderId="114" xfId="0" applyNumberFormat="1" applyFont="1" applyFill="1" applyBorder="1" applyAlignment="1" applyProtection="1">
      <alignment horizontal="center"/>
      <protection locked="0"/>
    </xf>
    <xf numFmtId="0" fontId="34" fillId="7" borderId="136" xfId="0" applyFont="1" applyFill="1" applyBorder="1" applyProtection="1">
      <protection locked="0"/>
    </xf>
    <xf numFmtId="0" fontId="34" fillId="7" borderId="137" xfId="0" applyFont="1" applyFill="1" applyBorder="1" applyProtection="1">
      <protection locked="0"/>
    </xf>
    <xf numFmtId="43" fontId="34" fillId="7" borderId="137" xfId="0" applyNumberFormat="1" applyFont="1" applyFill="1" applyBorder="1" applyProtection="1">
      <protection locked="0"/>
    </xf>
    <xf numFmtId="165" fontId="34" fillId="7" borderId="112" xfId="0" applyNumberFormat="1" applyFont="1" applyFill="1" applyBorder="1" applyAlignment="1" applyProtection="1">
      <alignment horizontal="center"/>
      <protection locked="0"/>
    </xf>
    <xf numFmtId="165" fontId="34" fillId="7" borderId="113" xfId="0" applyNumberFormat="1" applyFont="1" applyFill="1" applyBorder="1" applyAlignment="1" applyProtection="1">
      <alignment horizontal="center"/>
      <protection locked="0"/>
    </xf>
    <xf numFmtId="165" fontId="34" fillId="7" borderId="114" xfId="0" applyNumberFormat="1" applyFont="1" applyFill="1" applyBorder="1" applyAlignment="1" applyProtection="1">
      <alignment horizontal="center"/>
      <protection locked="0"/>
    </xf>
    <xf numFmtId="165" fontId="34" fillId="7" borderId="115" xfId="0" applyNumberFormat="1" applyFont="1" applyFill="1" applyBorder="1" applyAlignment="1" applyProtection="1">
      <alignment horizontal="center"/>
      <protection locked="0"/>
    </xf>
    <xf numFmtId="165" fontId="35" fillId="8" borderId="116" xfId="0" applyNumberFormat="1" applyFont="1" applyFill="1" applyBorder="1" applyAlignment="1">
      <alignment horizontal="center"/>
    </xf>
    <xf numFmtId="0" fontId="34" fillId="7" borderId="137" xfId="0" applyFont="1" applyFill="1" applyBorder="1" applyAlignment="1" applyProtection="1">
      <alignment horizontal="right"/>
      <protection locked="0"/>
    </xf>
    <xf numFmtId="43" fontId="34" fillId="7" borderId="137" xfId="0" applyNumberFormat="1" applyFont="1" applyFill="1" applyBorder="1" applyAlignment="1" applyProtection="1">
      <alignment horizontal="right"/>
      <protection locked="0"/>
    </xf>
    <xf numFmtId="0" fontId="34" fillId="7" borderId="111" xfId="0" applyFont="1" applyFill="1" applyBorder="1" applyAlignment="1" applyProtection="1">
      <alignment horizontal="left"/>
      <protection locked="0"/>
    </xf>
    <xf numFmtId="0" fontId="37" fillId="7" borderId="111" xfId="0" applyFont="1" applyFill="1" applyBorder="1" applyAlignment="1" applyProtection="1">
      <alignment horizontal="right"/>
      <protection locked="0"/>
    </xf>
    <xf numFmtId="165" fontId="34" fillId="7" borderId="107" xfId="0" applyNumberFormat="1" applyFont="1" applyFill="1" applyBorder="1" applyAlignment="1" applyProtection="1">
      <alignment horizontal="center"/>
      <protection locked="0"/>
    </xf>
    <xf numFmtId="0" fontId="34" fillId="7" borderId="122" xfId="0" applyFont="1" applyFill="1" applyBorder="1" applyProtection="1">
      <protection locked="0"/>
    </xf>
    <xf numFmtId="0" fontId="37" fillId="7" borderId="123" xfId="0" applyFont="1" applyFill="1" applyBorder="1" applyAlignment="1" applyProtection="1">
      <alignment horizontal="right"/>
      <protection locked="0"/>
    </xf>
    <xf numFmtId="49" fontId="36" fillId="7" borderId="113" xfId="2" applyNumberFormat="1" applyFont="1" applyFill="1" applyBorder="1" applyAlignment="1" applyProtection="1">
      <alignment horizontal="center"/>
      <protection locked="0"/>
    </xf>
    <xf numFmtId="0" fontId="34" fillId="7" borderId="99" xfId="0" applyFont="1" applyFill="1" applyBorder="1" applyProtection="1">
      <protection locked="0"/>
    </xf>
    <xf numFmtId="0" fontId="37" fillId="7" borderId="138" xfId="0" applyFont="1" applyFill="1" applyBorder="1" applyAlignment="1" applyProtection="1">
      <alignment horizontal="right"/>
      <protection locked="0"/>
    </xf>
    <xf numFmtId="165" fontId="35" fillId="8" borderId="109" xfId="0" applyNumberFormat="1" applyFont="1" applyFill="1" applyBorder="1" applyAlignment="1">
      <alignment horizontal="center"/>
    </xf>
    <xf numFmtId="0" fontId="38" fillId="0" borderId="0" xfId="0" applyFont="1" applyProtection="1">
      <protection locked="0"/>
    </xf>
    <xf numFmtId="0" fontId="34" fillId="0" borderId="71" xfId="0" applyFont="1" applyBorder="1" applyProtection="1">
      <protection locked="0"/>
    </xf>
    <xf numFmtId="0" fontId="34" fillId="0" borderId="0" xfId="0" applyFont="1" applyProtection="1">
      <protection locked="0"/>
    </xf>
    <xf numFmtId="0" fontId="37" fillId="7" borderId="72" xfId="0" applyFont="1" applyFill="1" applyBorder="1" applyAlignment="1" applyProtection="1">
      <alignment horizontal="right"/>
      <protection locked="0"/>
    </xf>
    <xf numFmtId="165" fontId="34" fillId="7" borderId="139" xfId="0" applyNumberFormat="1" applyFont="1" applyFill="1" applyBorder="1" applyAlignment="1" applyProtection="1">
      <alignment horizontal="center"/>
      <protection locked="0"/>
    </xf>
    <xf numFmtId="165" fontId="34" fillId="7" borderId="140" xfId="0" applyNumberFormat="1" applyFont="1" applyFill="1" applyBorder="1" applyAlignment="1" applyProtection="1">
      <alignment horizontal="center"/>
      <protection locked="0"/>
    </xf>
    <xf numFmtId="165" fontId="34" fillId="0" borderId="140" xfId="0" applyNumberFormat="1" applyFont="1" applyBorder="1" applyAlignment="1" applyProtection="1">
      <alignment horizontal="center"/>
      <protection locked="0"/>
    </xf>
    <xf numFmtId="165" fontId="34" fillId="7" borderId="141" xfId="0" applyNumberFormat="1" applyFont="1" applyFill="1" applyBorder="1" applyAlignment="1" applyProtection="1">
      <alignment horizontal="center"/>
      <protection locked="0"/>
    </xf>
    <xf numFmtId="165" fontId="34" fillId="7" borderId="142" xfId="0" applyNumberFormat="1" applyFont="1" applyFill="1" applyBorder="1" applyAlignment="1" applyProtection="1">
      <alignment horizontal="center"/>
      <protection locked="0"/>
    </xf>
    <xf numFmtId="165" fontId="34" fillId="0" borderId="125" xfId="0" applyNumberFormat="1" applyFont="1" applyBorder="1" applyAlignment="1" applyProtection="1">
      <alignment horizontal="center"/>
      <protection locked="0"/>
    </xf>
    <xf numFmtId="49" fontId="36" fillId="0" borderId="131" xfId="0" applyNumberFormat="1" applyFont="1" applyBorder="1" applyAlignment="1" applyProtection="1">
      <alignment horizontal="center"/>
      <protection locked="0"/>
    </xf>
    <xf numFmtId="49" fontId="36" fillId="0" borderId="107" xfId="0" applyNumberFormat="1" applyFont="1" applyBorder="1" applyAlignment="1" applyProtection="1">
      <alignment horizontal="center"/>
      <protection locked="0"/>
    </xf>
    <xf numFmtId="165" fontId="34" fillId="0" borderId="113" xfId="0" applyNumberFormat="1" applyFont="1" applyBorder="1" applyAlignment="1" applyProtection="1">
      <alignment horizontal="center"/>
      <protection locked="0"/>
    </xf>
    <xf numFmtId="0" fontId="34" fillId="7" borderId="143" xfId="0" applyFont="1" applyFill="1" applyBorder="1" applyAlignment="1" applyProtection="1">
      <alignment horizontal="right"/>
      <protection locked="0"/>
    </xf>
    <xf numFmtId="0" fontId="34" fillId="7" borderId="143" xfId="0" applyFont="1" applyFill="1" applyBorder="1" applyProtection="1">
      <protection locked="0"/>
    </xf>
    <xf numFmtId="0" fontId="37" fillId="7" borderId="144" xfId="0" applyFont="1" applyFill="1" applyBorder="1" applyAlignment="1" applyProtection="1">
      <alignment horizontal="right"/>
      <protection locked="0"/>
    </xf>
    <xf numFmtId="165" fontId="34" fillId="7" borderId="117" xfId="0" applyNumberFormat="1" applyFont="1" applyFill="1" applyBorder="1" applyAlignment="1" applyProtection="1">
      <alignment horizontal="center"/>
      <protection locked="0"/>
    </xf>
    <xf numFmtId="165" fontId="34" fillId="7" borderId="118" xfId="0" applyNumberFormat="1" applyFont="1" applyFill="1" applyBorder="1" applyAlignment="1" applyProtection="1">
      <alignment horizontal="center"/>
      <protection locked="0"/>
    </xf>
    <xf numFmtId="165" fontId="34" fillId="7" borderId="119" xfId="0" applyNumberFormat="1" applyFont="1" applyFill="1" applyBorder="1" applyAlignment="1" applyProtection="1">
      <alignment horizontal="center"/>
      <protection locked="0"/>
    </xf>
    <xf numFmtId="165" fontId="34" fillId="7" borderId="145" xfId="0" applyNumberFormat="1" applyFont="1" applyFill="1" applyBorder="1" applyAlignment="1" applyProtection="1">
      <alignment horizontal="center"/>
      <protection locked="0"/>
    </xf>
    <xf numFmtId="0" fontId="34" fillId="0" borderId="143" xfId="0" applyFont="1" applyBorder="1" applyProtection="1">
      <protection locked="0"/>
    </xf>
    <xf numFmtId="165" fontId="34" fillId="0" borderId="118" xfId="0" applyNumberFormat="1" applyFont="1" applyBorder="1" applyAlignment="1" applyProtection="1">
      <alignment horizontal="center"/>
      <protection locked="0"/>
    </xf>
    <xf numFmtId="0" fontId="39" fillId="7" borderId="96" xfId="0" applyFont="1" applyFill="1" applyBorder="1" applyProtection="1">
      <protection locked="0"/>
    </xf>
    <xf numFmtId="0" fontId="39" fillId="7" borderId="84" xfId="0" applyFont="1" applyFill="1" applyBorder="1" applyProtection="1">
      <protection locked="0"/>
    </xf>
    <xf numFmtId="0" fontId="34" fillId="7" borderId="84" xfId="0" applyFont="1" applyFill="1" applyBorder="1" applyProtection="1">
      <protection locked="0"/>
    </xf>
    <xf numFmtId="0" fontId="37" fillId="7" borderId="146" xfId="0" applyFont="1" applyFill="1" applyBorder="1" applyAlignment="1" applyProtection="1">
      <alignment horizontal="right"/>
      <protection locked="0"/>
    </xf>
    <xf numFmtId="165" fontId="34" fillId="7" borderId="147" xfId="0" applyNumberFormat="1" applyFont="1" applyFill="1" applyBorder="1" applyAlignment="1" applyProtection="1">
      <alignment horizontal="center"/>
      <protection locked="0"/>
    </xf>
    <xf numFmtId="165" fontId="34" fillId="7" borderId="148" xfId="0" applyNumberFormat="1" applyFont="1" applyFill="1" applyBorder="1" applyAlignment="1" applyProtection="1">
      <alignment horizontal="center"/>
      <protection locked="0"/>
    </xf>
    <xf numFmtId="165" fontId="34" fillId="7" borderId="149" xfId="0" applyNumberFormat="1" applyFont="1" applyFill="1" applyBorder="1" applyAlignment="1" applyProtection="1">
      <alignment horizontal="center"/>
      <protection locked="0"/>
    </xf>
    <xf numFmtId="165" fontId="34" fillId="7" borderId="150" xfId="0" applyNumberFormat="1" applyFont="1" applyFill="1" applyBorder="1" applyAlignment="1" applyProtection="1">
      <alignment horizontal="center"/>
      <protection locked="0"/>
    </xf>
    <xf numFmtId="165" fontId="35" fillId="8" borderId="76" xfId="0" applyNumberFormat="1" applyFont="1" applyFill="1" applyBorder="1" applyAlignment="1">
      <alignment horizontal="center"/>
    </xf>
    <xf numFmtId="0" fontId="39" fillId="7" borderId="86" xfId="0" applyFont="1" applyFill="1" applyBorder="1" applyProtection="1">
      <protection locked="0"/>
    </xf>
    <xf numFmtId="0" fontId="39" fillId="7" borderId="85" xfId="0" applyFont="1" applyFill="1" applyBorder="1" applyProtection="1">
      <protection locked="0"/>
    </xf>
    <xf numFmtId="0" fontId="34" fillId="7" borderId="85" xfId="0" applyFont="1" applyFill="1" applyBorder="1" applyProtection="1">
      <protection locked="0"/>
    </xf>
    <xf numFmtId="0" fontId="37" fillId="7" borderId="98" xfId="0" applyFont="1" applyFill="1" applyBorder="1" applyAlignment="1" applyProtection="1">
      <alignment horizontal="right"/>
      <protection locked="0"/>
    </xf>
    <xf numFmtId="165" fontId="34" fillId="7" borderId="151" xfId="0" applyNumberFormat="1" applyFont="1" applyFill="1" applyBorder="1" applyAlignment="1" applyProtection="1">
      <alignment horizontal="center"/>
      <protection locked="0"/>
    </xf>
    <xf numFmtId="165" fontId="34" fillId="7" borderId="152" xfId="0" applyNumberFormat="1" applyFont="1" applyFill="1" applyBorder="1" applyAlignment="1" applyProtection="1">
      <alignment horizontal="center"/>
      <protection locked="0"/>
    </xf>
    <xf numFmtId="165" fontId="34" fillId="7" borderId="153" xfId="0" applyNumberFormat="1" applyFont="1" applyFill="1" applyBorder="1" applyAlignment="1" applyProtection="1">
      <alignment horizontal="center"/>
      <protection locked="0"/>
    </xf>
    <xf numFmtId="165" fontId="34" fillId="7" borderId="154" xfId="0" applyNumberFormat="1" applyFont="1" applyFill="1" applyBorder="1" applyAlignment="1" applyProtection="1">
      <alignment horizontal="center"/>
      <protection locked="0"/>
    </xf>
    <xf numFmtId="165" fontId="35" fillId="8" borderId="155" xfId="0" applyNumberFormat="1" applyFont="1" applyFill="1" applyBorder="1" applyAlignment="1">
      <alignment horizontal="center"/>
    </xf>
    <xf numFmtId="0" fontId="34" fillId="7" borderId="97" xfId="0" applyFont="1" applyFill="1" applyBorder="1" applyProtection="1">
      <protection locked="0"/>
    </xf>
    <xf numFmtId="0" fontId="34" fillId="7" borderId="156" xfId="0" applyFont="1" applyFill="1" applyBorder="1" applyProtection="1">
      <protection locked="0"/>
    </xf>
    <xf numFmtId="41" fontId="34" fillId="7" borderId="156" xfId="0" applyNumberFormat="1" applyFont="1" applyFill="1" applyBorder="1" applyProtection="1">
      <protection locked="0"/>
    </xf>
    <xf numFmtId="0" fontId="34" fillId="7" borderId="157" xfId="0" applyFont="1" applyFill="1" applyBorder="1" applyAlignment="1" applyProtection="1">
      <alignment horizontal="right"/>
      <protection locked="0"/>
    </xf>
    <xf numFmtId="165" fontId="34" fillId="7" borderId="158" xfId="0" applyNumberFormat="1" applyFont="1" applyFill="1" applyBorder="1" applyAlignment="1" applyProtection="1">
      <alignment horizontal="center"/>
      <protection locked="0"/>
    </xf>
    <xf numFmtId="165" fontId="34" fillId="7" borderId="159" xfId="0" applyNumberFormat="1" applyFont="1" applyFill="1" applyBorder="1" applyAlignment="1" applyProtection="1">
      <alignment horizontal="center"/>
      <protection locked="0"/>
    </xf>
    <xf numFmtId="165" fontId="34" fillId="7" borderId="160" xfId="0" applyNumberFormat="1" applyFont="1" applyFill="1" applyBorder="1" applyAlignment="1" applyProtection="1">
      <alignment horizontal="center"/>
      <protection locked="0"/>
    </xf>
    <xf numFmtId="165" fontId="34" fillId="7" borderId="161" xfId="0" applyNumberFormat="1" applyFont="1" applyFill="1" applyBorder="1" applyAlignment="1" applyProtection="1">
      <alignment horizontal="center"/>
      <protection locked="0"/>
    </xf>
    <xf numFmtId="165" fontId="35" fillId="8" borderId="120" xfId="0" applyNumberFormat="1" applyFont="1" applyFill="1" applyBorder="1" applyAlignment="1">
      <alignment horizontal="center"/>
    </xf>
    <xf numFmtId="0" fontId="34" fillId="9" borderId="75" xfId="0" applyFont="1" applyFill="1" applyBorder="1" applyAlignment="1" applyProtection="1">
      <alignment horizontal="left"/>
      <protection locked="0"/>
    </xf>
    <xf numFmtId="0" fontId="34" fillId="9" borderId="12" xfId="0" applyFont="1" applyFill="1" applyBorder="1" applyAlignment="1" applyProtection="1">
      <alignment horizontal="left"/>
      <protection locked="0"/>
    </xf>
    <xf numFmtId="0" fontId="34" fillId="9" borderId="12" xfId="0" applyFont="1" applyFill="1" applyBorder="1" applyAlignment="1" applyProtection="1">
      <alignment horizontal="center"/>
      <protection locked="0"/>
    </xf>
    <xf numFmtId="0" fontId="34" fillId="9" borderId="13" xfId="0" applyFont="1" applyFill="1" applyBorder="1" applyAlignment="1" applyProtection="1">
      <alignment horizontal="center"/>
      <protection locked="0"/>
    </xf>
    <xf numFmtId="0" fontId="34" fillId="10" borderId="162" xfId="0" applyFont="1" applyFill="1" applyBorder="1" applyAlignment="1" applyProtection="1">
      <alignment horizontal="center" vertical="center" wrapText="1"/>
      <protection locked="0"/>
    </xf>
    <xf numFmtId="0" fontId="34" fillId="10" borderId="96" xfId="0" applyFont="1" applyFill="1" applyBorder="1" applyAlignment="1" applyProtection="1">
      <alignment horizontal="left"/>
      <protection locked="0"/>
    </xf>
    <xf numFmtId="0" fontId="34" fillId="10" borderId="146" xfId="0" applyFont="1" applyFill="1" applyBorder="1" applyAlignment="1" applyProtection="1">
      <alignment horizontal="center"/>
      <protection locked="0"/>
    </xf>
    <xf numFmtId="0" fontId="34" fillId="10" borderId="164" xfId="0" applyFont="1" applyFill="1" applyBorder="1" applyAlignment="1" applyProtection="1">
      <alignment horizontal="center" vertical="center" wrapText="1"/>
      <protection locked="0"/>
    </xf>
    <xf numFmtId="0" fontId="34" fillId="10" borderId="163" xfId="0" applyFont="1" applyFill="1" applyBorder="1" applyAlignment="1" applyProtection="1">
      <alignment horizontal="left"/>
      <protection locked="0"/>
    </xf>
    <xf numFmtId="0" fontId="34" fillId="10" borderId="164" xfId="0" applyFont="1" applyFill="1" applyBorder="1" applyAlignment="1" applyProtection="1">
      <alignment horizontal="center"/>
      <protection locked="0"/>
    </xf>
    <xf numFmtId="0" fontId="34" fillId="7" borderId="162" xfId="0" applyFont="1" applyFill="1" applyBorder="1" applyAlignment="1" applyProtection="1">
      <alignment horizontal="center" vertical="center" wrapText="1"/>
      <protection locked="0"/>
    </xf>
    <xf numFmtId="0" fontId="34" fillId="7" borderId="96" xfId="0" applyFont="1" applyFill="1" applyBorder="1" applyAlignment="1" applyProtection="1">
      <alignment horizontal="left"/>
      <protection locked="0"/>
    </xf>
    <xf numFmtId="0" fontId="34" fillId="7" borderId="146" xfId="0" applyFont="1" applyFill="1" applyBorder="1" applyAlignment="1" applyProtection="1">
      <alignment horizontal="center"/>
      <protection locked="0"/>
    </xf>
    <xf numFmtId="0" fontId="34" fillId="7" borderId="164" xfId="0" applyFont="1" applyFill="1" applyBorder="1" applyAlignment="1" applyProtection="1">
      <alignment horizontal="center" vertical="center" wrapText="1"/>
      <protection locked="0"/>
    </xf>
    <xf numFmtId="0" fontId="34" fillId="7" borderId="97" xfId="0" applyFont="1" applyFill="1" applyBorder="1" applyAlignment="1" applyProtection="1">
      <alignment horizontal="left"/>
      <protection locked="0"/>
    </xf>
    <xf numFmtId="0" fontId="34" fillId="7" borderId="157" xfId="0" applyFont="1" applyFill="1" applyBorder="1" applyAlignment="1" applyProtection="1">
      <alignment horizontal="center"/>
      <protection locked="0"/>
    </xf>
    <xf numFmtId="0" fontId="43" fillId="7" borderId="129" xfId="0" applyFont="1" applyFill="1" applyBorder="1" applyAlignment="1" applyProtection="1">
      <alignment wrapText="1"/>
      <protection locked="0"/>
    </xf>
    <xf numFmtId="0" fontId="43" fillId="7" borderId="163" xfId="0" applyFont="1" applyFill="1" applyBorder="1" applyAlignment="1" applyProtection="1">
      <alignment wrapText="1"/>
      <protection locked="0"/>
    </xf>
    <xf numFmtId="0" fontId="34" fillId="7" borderId="75" xfId="0" applyFont="1" applyFill="1" applyBorder="1" applyAlignment="1" applyProtection="1">
      <alignment horizontal="left"/>
      <protection locked="0"/>
    </xf>
    <xf numFmtId="0" fontId="0" fillId="7" borderId="13" xfId="0" applyFill="1" applyBorder="1" applyAlignment="1" applyProtection="1">
      <alignment horizontal="center"/>
      <protection locked="0"/>
    </xf>
    <xf numFmtId="166" fontId="34" fillId="7" borderId="112" xfId="0" applyNumberFormat="1" applyFont="1" applyFill="1" applyBorder="1" applyAlignment="1" applyProtection="1">
      <alignment horizontal="center"/>
      <protection locked="0"/>
    </xf>
    <xf numFmtId="166" fontId="34" fillId="7" borderId="113" xfId="0" applyNumberFormat="1" applyFont="1" applyFill="1" applyBorder="1" applyAlignment="1" applyProtection="1">
      <alignment horizontal="center"/>
      <protection locked="0"/>
    </xf>
    <xf numFmtId="166" fontId="34" fillId="7" borderId="114" xfId="0" applyNumberFormat="1" applyFont="1" applyFill="1" applyBorder="1" applyAlignment="1" applyProtection="1">
      <alignment horizontal="center"/>
      <protection locked="0"/>
    </xf>
    <xf numFmtId="166" fontId="34" fillId="7" borderId="115" xfId="0" applyNumberFormat="1" applyFont="1" applyFill="1" applyBorder="1" applyAlignment="1" applyProtection="1">
      <alignment horizontal="center"/>
      <protection locked="0"/>
    </xf>
    <xf numFmtId="166" fontId="35" fillId="8" borderId="116" xfId="0" applyNumberFormat="1" applyFont="1" applyFill="1" applyBorder="1" applyAlignment="1">
      <alignment horizontal="center"/>
    </xf>
    <xf numFmtId="166" fontId="34" fillId="7" borderId="106" xfId="0" applyNumberFormat="1" applyFont="1" applyFill="1" applyBorder="1" applyAlignment="1" applyProtection="1">
      <alignment horizontal="center"/>
      <protection locked="0"/>
    </xf>
    <xf numFmtId="166" fontId="34" fillId="7" borderId="107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166" fontId="34" fillId="7" borderId="108" xfId="0" applyNumberFormat="1" applyFont="1" applyFill="1" applyBorder="1" applyAlignment="1" applyProtection="1">
      <alignment horizontal="center"/>
      <protection locked="0"/>
    </xf>
    <xf numFmtId="166" fontId="34" fillId="7" borderId="135" xfId="0" applyNumberFormat="1" applyFont="1" applyFill="1" applyBorder="1" applyAlignment="1" applyProtection="1">
      <alignment horizontal="center"/>
      <protection locked="0"/>
    </xf>
    <xf numFmtId="166" fontId="34" fillId="7" borderId="124" xfId="0" applyNumberFormat="1" applyFont="1" applyFill="1" applyBorder="1" applyAlignment="1" applyProtection="1">
      <alignment horizontal="center"/>
      <protection locked="0"/>
    </xf>
    <xf numFmtId="166" fontId="34" fillId="7" borderId="125" xfId="0" applyNumberFormat="1" applyFont="1" applyFill="1" applyBorder="1" applyAlignment="1" applyProtection="1">
      <alignment horizontal="center"/>
      <protection locked="0"/>
    </xf>
    <xf numFmtId="166" fontId="34" fillId="7" borderId="126" xfId="0" applyNumberFormat="1" applyFont="1" applyFill="1" applyBorder="1" applyAlignment="1" applyProtection="1">
      <alignment horizontal="center"/>
      <protection locked="0"/>
    </xf>
    <xf numFmtId="166" fontId="34" fillId="7" borderId="127" xfId="0" applyNumberFormat="1" applyFont="1" applyFill="1" applyBorder="1" applyAlignment="1" applyProtection="1">
      <alignment horizontal="center"/>
      <protection locked="0"/>
    </xf>
    <xf numFmtId="166" fontId="35" fillId="8" borderId="128" xfId="0" applyNumberFormat="1" applyFont="1" applyFill="1" applyBorder="1" applyAlignment="1">
      <alignment horizontal="center"/>
    </xf>
    <xf numFmtId="166" fontId="40" fillId="8" borderId="69" xfId="0" applyNumberFormat="1" applyFont="1" applyFill="1" applyBorder="1" applyAlignment="1">
      <alignment horizontal="center"/>
    </xf>
    <xf numFmtId="166" fontId="40" fillId="9" borderId="11" xfId="0" applyNumberFormat="1" applyFont="1" applyFill="1" applyBorder="1" applyAlignment="1">
      <alignment horizontal="center"/>
    </xf>
    <xf numFmtId="166" fontId="37" fillId="10" borderId="79" xfId="0" applyNumberFormat="1" applyFont="1" applyFill="1" applyBorder="1" applyAlignment="1" applyProtection="1">
      <alignment horizontal="center"/>
      <protection locked="0"/>
    </xf>
    <xf numFmtId="166" fontId="37" fillId="10" borderId="5" xfId="0" applyNumberFormat="1" applyFont="1" applyFill="1" applyBorder="1" applyAlignment="1" applyProtection="1">
      <alignment horizontal="center"/>
      <protection locked="0"/>
    </xf>
    <xf numFmtId="166" fontId="37" fillId="10" borderId="82" xfId="0" applyNumberFormat="1" applyFont="1" applyFill="1" applyBorder="1" applyAlignment="1" applyProtection="1">
      <alignment horizontal="center"/>
      <protection locked="0"/>
    </xf>
    <xf numFmtId="166" fontId="37" fillId="10" borderId="6" xfId="0" applyNumberFormat="1" applyFont="1" applyFill="1" applyBorder="1" applyAlignment="1" applyProtection="1">
      <alignment horizontal="center"/>
      <protection locked="0"/>
    </xf>
    <xf numFmtId="166" fontId="39" fillId="10" borderId="76" xfId="0" applyNumberFormat="1" applyFont="1" applyFill="1" applyBorder="1" applyAlignment="1">
      <alignment horizontal="center"/>
    </xf>
    <xf numFmtId="166" fontId="42" fillId="10" borderId="81" xfId="0" applyNumberFormat="1" applyFont="1" applyFill="1" applyBorder="1" applyAlignment="1">
      <alignment horizontal="center"/>
    </xf>
    <xf numFmtId="166" fontId="42" fillId="10" borderId="67" xfId="0" applyNumberFormat="1" applyFont="1" applyFill="1" applyBorder="1" applyAlignment="1">
      <alignment horizontal="center"/>
    </xf>
    <xf numFmtId="166" fontId="42" fillId="10" borderId="165" xfId="0" applyNumberFormat="1" applyFont="1" applyFill="1" applyBorder="1" applyAlignment="1">
      <alignment horizontal="center"/>
    </xf>
    <xf numFmtId="166" fontId="34" fillId="10" borderId="63" xfId="0" applyNumberFormat="1" applyFont="1" applyFill="1" applyBorder="1" applyAlignment="1">
      <alignment horizontal="center"/>
    </xf>
    <xf numFmtId="166" fontId="34" fillId="7" borderId="79" xfId="0" applyNumberFormat="1" applyFont="1" applyFill="1" applyBorder="1" applyAlignment="1" applyProtection="1">
      <alignment horizontal="center"/>
      <protection locked="0"/>
    </xf>
    <xf numFmtId="166" fontId="34" fillId="7" borderId="5" xfId="0" applyNumberFormat="1" applyFont="1" applyFill="1" applyBorder="1" applyAlignment="1" applyProtection="1">
      <alignment horizontal="center"/>
      <protection locked="0"/>
    </xf>
    <xf numFmtId="166" fontId="34" fillId="7" borderId="82" xfId="0" applyNumberFormat="1" applyFont="1" applyFill="1" applyBorder="1" applyAlignment="1" applyProtection="1">
      <alignment horizontal="center"/>
      <protection locked="0"/>
    </xf>
    <xf numFmtId="166" fontId="34" fillId="7" borderId="6" xfId="0" applyNumberFormat="1" applyFont="1" applyFill="1" applyBorder="1" applyAlignment="1" applyProtection="1">
      <alignment horizontal="center"/>
      <protection locked="0"/>
    </xf>
    <xf numFmtId="166" fontId="34" fillId="7" borderId="76" xfId="0" applyNumberFormat="1" applyFont="1" applyFill="1" applyBorder="1" applyAlignment="1">
      <alignment horizontal="center"/>
    </xf>
    <xf numFmtId="166" fontId="34" fillId="7" borderId="73" xfId="0" applyNumberFormat="1" applyFont="1" applyFill="1" applyBorder="1" applyAlignment="1" applyProtection="1">
      <alignment horizontal="center"/>
      <protection locked="0"/>
    </xf>
    <xf numFmtId="166" fontId="34" fillId="7" borderId="83" xfId="0" applyNumberFormat="1" applyFont="1" applyFill="1" applyBorder="1" applyAlignment="1" applyProtection="1">
      <alignment horizontal="center"/>
      <protection locked="0"/>
    </xf>
    <xf numFmtId="166" fontId="34" fillId="7" borderId="80" xfId="0" applyNumberFormat="1" applyFont="1" applyFill="1" applyBorder="1" applyAlignment="1" applyProtection="1">
      <alignment horizontal="center"/>
      <protection locked="0"/>
    </xf>
    <xf numFmtId="166" fontId="34" fillId="7" borderId="58" xfId="0" applyNumberFormat="1" applyFont="1" applyFill="1" applyBorder="1" applyAlignment="1" applyProtection="1">
      <alignment horizontal="center"/>
      <protection locked="0"/>
    </xf>
    <xf numFmtId="166" fontId="34" fillId="7" borderId="77" xfId="0" applyNumberFormat="1" applyFont="1" applyFill="1" applyBorder="1" applyAlignment="1">
      <alignment horizontal="center"/>
    </xf>
    <xf numFmtId="166" fontId="34" fillId="7" borderId="18" xfId="0" applyNumberFormat="1" applyFont="1" applyFill="1" applyBorder="1" applyAlignment="1">
      <alignment horizontal="center"/>
    </xf>
    <xf numFmtId="166" fontId="34" fillId="7" borderId="74" xfId="0" applyNumberFormat="1" applyFont="1" applyFill="1" applyBorder="1" applyAlignment="1" applyProtection="1">
      <alignment horizontal="center"/>
      <protection locked="0"/>
    </xf>
    <xf numFmtId="166" fontId="34" fillId="7" borderId="22" xfId="0" applyNumberFormat="1" applyFont="1" applyFill="1" applyBorder="1" applyAlignment="1" applyProtection="1">
      <alignment horizontal="center"/>
      <protection locked="0"/>
    </xf>
    <xf numFmtId="166" fontId="34" fillId="7" borderId="166" xfId="0" applyNumberFormat="1" applyFont="1" applyFill="1" applyBorder="1" applyAlignment="1" applyProtection="1">
      <alignment horizontal="center"/>
      <protection locked="0"/>
    </xf>
    <xf numFmtId="166" fontId="34" fillId="7" borderId="23" xfId="0" applyNumberFormat="1" applyFont="1" applyFill="1" applyBorder="1" applyAlignment="1" applyProtection="1">
      <alignment horizontal="center"/>
      <protection locked="0"/>
    </xf>
    <xf numFmtId="166" fontId="35" fillId="11" borderId="69" xfId="0" applyNumberFormat="1" applyFont="1" applyFill="1" applyBorder="1" applyAlignment="1">
      <alignment horizontal="center"/>
    </xf>
    <xf numFmtId="166" fontId="35" fillId="11" borderId="11" xfId="0" applyNumberFormat="1" applyFont="1" applyFill="1" applyBorder="1" applyAlignment="1">
      <alignment horizontal="center"/>
    </xf>
    <xf numFmtId="166" fontId="35" fillId="8" borderId="109" xfId="0" applyNumberFormat="1" applyFont="1" applyFill="1" applyBorder="1" applyAlignment="1">
      <alignment horizontal="center"/>
    </xf>
    <xf numFmtId="166" fontId="34" fillId="7" borderId="139" xfId="0" applyNumberFormat="1" applyFont="1" applyFill="1" applyBorder="1" applyAlignment="1" applyProtection="1">
      <alignment horizontal="center"/>
      <protection locked="0"/>
    </xf>
    <xf numFmtId="166" fontId="34" fillId="7" borderId="140" xfId="0" applyNumberFormat="1" applyFont="1" applyFill="1" applyBorder="1" applyAlignment="1" applyProtection="1">
      <alignment horizontal="center"/>
      <protection locked="0"/>
    </xf>
    <xf numFmtId="166" fontId="34" fillId="0" borderId="140" xfId="0" applyNumberFormat="1" applyFont="1" applyBorder="1" applyAlignment="1" applyProtection="1">
      <alignment horizontal="center"/>
      <protection locked="0"/>
    </xf>
    <xf numFmtId="166" fontId="34" fillId="7" borderId="141" xfId="0" applyNumberFormat="1" applyFont="1" applyFill="1" applyBorder="1" applyAlignment="1" applyProtection="1">
      <alignment horizontal="center"/>
      <protection locked="0"/>
    </xf>
    <xf numFmtId="166" fontId="34" fillId="7" borderId="142" xfId="0" applyNumberFormat="1" applyFont="1" applyFill="1" applyBorder="1" applyAlignment="1" applyProtection="1">
      <alignment horizontal="center"/>
      <protection locked="0"/>
    </xf>
    <xf numFmtId="166" fontId="34" fillId="0" borderId="125" xfId="0" applyNumberFormat="1" applyFont="1" applyBorder="1" applyAlignment="1" applyProtection="1">
      <alignment horizontal="center"/>
      <protection locked="0"/>
    </xf>
    <xf numFmtId="3" fontId="11" fillId="0" borderId="40" xfId="1" applyNumberFormat="1" applyFont="1" applyBorder="1" applyAlignment="1">
      <alignment horizontal="center"/>
    </xf>
    <xf numFmtId="3" fontId="18" fillId="3" borderId="11" xfId="1" applyNumberFormat="1" applyFont="1" applyFill="1" applyBorder="1" applyAlignment="1">
      <alignment horizontal="center"/>
    </xf>
    <xf numFmtId="3" fontId="11" fillId="0" borderId="28" xfId="1" applyNumberFormat="1" applyFont="1" applyBorder="1" applyAlignment="1">
      <alignment horizontal="center"/>
    </xf>
    <xf numFmtId="3" fontId="11" fillId="0" borderId="37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 vertical="center"/>
    </xf>
    <xf numFmtId="3" fontId="3" fillId="0" borderId="89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2" borderId="23" xfId="1" applyNumberFormat="1" applyFont="1" applyFill="1" applyBorder="1" applyAlignment="1">
      <alignment horizontal="center" vertical="center"/>
    </xf>
    <xf numFmtId="3" fontId="3" fillId="2" borderId="25" xfId="1" applyNumberFormat="1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3" fontId="1" fillId="0" borderId="60" xfId="1" applyNumberFormat="1" applyBorder="1" applyAlignment="1">
      <alignment horizontal="center"/>
    </xf>
    <xf numFmtId="0" fontId="25" fillId="0" borderId="61" xfId="0" applyFont="1" applyBorder="1" applyAlignment="1">
      <alignment horizontal="center"/>
    </xf>
    <xf numFmtId="3" fontId="1" fillId="0" borderId="53" xfId="1" applyNumberFormat="1" applyBorder="1" applyAlignment="1">
      <alignment horizontal="center" vertical="center"/>
    </xf>
    <xf numFmtId="3" fontId="1" fillId="0" borderId="55" xfId="1" applyNumberFormat="1" applyBorder="1" applyAlignment="1">
      <alignment horizontal="center" vertical="center"/>
    </xf>
    <xf numFmtId="3" fontId="1" fillId="0" borderId="57" xfId="1" applyNumberForma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55" xfId="1" applyNumberFormat="1" applyFont="1" applyBorder="1" applyAlignment="1">
      <alignment horizontal="center" vertical="center"/>
    </xf>
    <xf numFmtId="3" fontId="11" fillId="0" borderId="57" xfId="1" applyNumberFormat="1" applyFont="1" applyBorder="1" applyAlignment="1">
      <alignment horizontal="center" vertical="center"/>
    </xf>
    <xf numFmtId="3" fontId="11" fillId="0" borderId="54" xfId="1" applyNumberFormat="1" applyFont="1" applyBorder="1" applyAlignment="1">
      <alignment horizontal="center" vertical="center"/>
    </xf>
    <xf numFmtId="3" fontId="11" fillId="0" borderId="56" xfId="1" applyNumberFormat="1" applyFont="1" applyBorder="1" applyAlignment="1">
      <alignment horizontal="center" vertical="center"/>
    </xf>
    <xf numFmtId="3" fontId="3" fillId="2" borderId="22" xfId="1" applyNumberFormat="1" applyFont="1" applyFill="1" applyBorder="1" applyAlignment="1">
      <alignment horizontal="center" vertical="center"/>
    </xf>
    <xf numFmtId="3" fontId="3" fillId="2" borderId="89" xfId="1" applyNumberFormat="1" applyFont="1" applyFill="1" applyBorder="1" applyAlignment="1">
      <alignment horizontal="center" vertical="center"/>
    </xf>
    <xf numFmtId="3" fontId="3" fillId="2" borderId="9" xfId="1" applyNumberFormat="1" applyFont="1" applyFill="1" applyBorder="1" applyAlignment="1">
      <alignment horizontal="center" vertical="center"/>
    </xf>
    <xf numFmtId="3" fontId="11" fillId="0" borderId="64" xfId="1" applyNumberFormat="1" applyFont="1" applyBorder="1" applyAlignment="1">
      <alignment horizontal="center" vertical="center"/>
    </xf>
    <xf numFmtId="1" fontId="24" fillId="0" borderId="75" xfId="0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34" fillId="7" borderId="110" xfId="0" applyFont="1" applyFill="1" applyBorder="1" applyAlignment="1" applyProtection="1">
      <alignment horizontal="center"/>
      <protection locked="0"/>
    </xf>
    <xf numFmtId="0" fontId="34" fillId="7" borderId="111" xfId="0" applyFont="1" applyFill="1" applyBorder="1" applyAlignment="1" applyProtection="1">
      <alignment horizontal="center"/>
      <protection locked="0"/>
    </xf>
    <xf numFmtId="0" fontId="41" fillId="7" borderId="7" xfId="0" applyFont="1" applyFill="1" applyBorder="1" applyAlignment="1" applyProtection="1">
      <alignment horizontal="center" vertical="center" textRotation="255" wrapText="1"/>
      <protection locked="0"/>
    </xf>
    <xf numFmtId="0" fontId="41" fillId="7" borderId="28" xfId="0" applyFont="1" applyFill="1" applyBorder="1" applyAlignment="1" applyProtection="1">
      <alignment horizontal="center" vertical="center" textRotation="255" wrapText="1"/>
      <protection locked="0"/>
    </xf>
    <xf numFmtId="0" fontId="41" fillId="7" borderId="63" xfId="0" applyFont="1" applyFill="1" applyBorder="1" applyAlignment="1" applyProtection="1">
      <alignment horizontal="center" vertical="center" textRotation="255" wrapText="1"/>
      <protection locked="0"/>
    </xf>
    <xf numFmtId="0" fontId="34" fillId="10" borderId="129" xfId="0" applyFont="1" applyFill="1" applyBorder="1" applyAlignment="1" applyProtection="1">
      <alignment horizontal="center" vertical="center" wrapText="1"/>
      <protection locked="0"/>
    </xf>
    <xf numFmtId="0" fontId="34" fillId="10" borderId="163" xfId="0" applyFont="1" applyFill="1" applyBorder="1" applyAlignment="1" applyProtection="1">
      <alignment horizontal="center" vertical="center" wrapText="1"/>
      <protection locked="0"/>
    </xf>
    <xf numFmtId="0" fontId="34" fillId="7" borderId="129" xfId="0" applyFont="1" applyFill="1" applyBorder="1" applyAlignment="1" applyProtection="1">
      <alignment horizontal="center" vertical="center" wrapText="1"/>
      <protection locked="0"/>
    </xf>
    <xf numFmtId="0" fontId="34" fillId="7" borderId="163" xfId="0" applyFont="1" applyFill="1" applyBorder="1" applyAlignment="1" applyProtection="1">
      <alignment horizontal="center" vertical="center" wrapText="1"/>
      <protection locked="0"/>
    </xf>
    <xf numFmtId="0" fontId="34" fillId="7" borderId="104" xfId="0" applyFont="1" applyFill="1" applyBorder="1" applyAlignment="1" applyProtection="1">
      <alignment horizontal="center"/>
      <protection locked="0"/>
    </xf>
    <xf numFmtId="0" fontId="34" fillId="7" borderId="105" xfId="0" applyFont="1" applyFill="1" applyBorder="1" applyAlignment="1" applyProtection="1">
      <alignment horizontal="center"/>
      <protection locked="0"/>
    </xf>
    <xf numFmtId="0" fontId="31" fillId="0" borderId="84" xfId="0" applyFont="1" applyBorder="1" applyAlignment="1" applyProtection="1">
      <alignment horizontal="right"/>
      <protection locked="0"/>
    </xf>
    <xf numFmtId="0" fontId="0" fillId="0" borderId="84" xfId="0" applyBorder="1" applyAlignment="1" applyProtection="1">
      <alignment horizontal="left"/>
      <protection locked="0"/>
    </xf>
    <xf numFmtId="0" fontId="44" fillId="0" borderId="7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0" fontId="14" fillId="2" borderId="75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wrapText="1"/>
    </xf>
    <xf numFmtId="0" fontId="24" fillId="0" borderId="167" xfId="0" applyFont="1" applyBorder="1"/>
    <xf numFmtId="0" fontId="24" fillId="0" borderId="82" xfId="0" applyFont="1" applyBorder="1" applyAlignment="1">
      <alignment horizontal="center"/>
    </xf>
    <xf numFmtId="0" fontId="24" fillId="0" borderId="146" xfId="0" applyFont="1" applyBorder="1" applyAlignment="1">
      <alignment horizontal="center"/>
    </xf>
    <xf numFmtId="0" fontId="24" fillId="2" borderId="82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79" xfId="0" applyFont="1" applyFill="1" applyBorder="1" applyAlignment="1">
      <alignment horizontal="center"/>
    </xf>
    <xf numFmtId="0" fontId="24" fillId="2" borderId="146" xfId="0" applyFont="1" applyFill="1" applyBorder="1" applyAlignment="1">
      <alignment horizontal="center"/>
    </xf>
    <xf numFmtId="0" fontId="24" fillId="2" borderId="84" xfId="0" applyFont="1" applyFill="1" applyBorder="1"/>
    <xf numFmtId="0" fontId="24" fillId="2" borderId="76" xfId="0" applyFont="1" applyFill="1" applyBorder="1" applyAlignment="1">
      <alignment horizontal="center"/>
    </xf>
    <xf numFmtId="0" fontId="24" fillId="2" borderId="76" xfId="0" applyFont="1" applyFill="1" applyBorder="1"/>
    <xf numFmtId="0" fontId="24" fillId="2" borderId="6" xfId="0" applyFont="1" applyFill="1" applyBorder="1"/>
    <xf numFmtId="0" fontId="24" fillId="2" borderId="168" xfId="0" applyFont="1" applyFill="1" applyBorder="1"/>
    <xf numFmtId="0" fontId="14" fillId="2" borderId="79" xfId="0" applyFont="1" applyFill="1" applyBorder="1" applyAlignment="1">
      <alignment horizontal="center"/>
    </xf>
    <xf numFmtId="0" fontId="14" fillId="2" borderId="72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14" fillId="12" borderId="169" xfId="0" applyFont="1" applyFill="1" applyBorder="1"/>
    <xf numFmtId="0" fontId="24" fillId="2" borderId="170" xfId="0" applyFont="1" applyFill="1" applyBorder="1" applyAlignment="1">
      <alignment horizontal="center"/>
    </xf>
    <xf numFmtId="0" fontId="24" fillId="2" borderId="98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24" fillId="2" borderId="85" xfId="0" applyFont="1" applyFill="1" applyBorder="1" applyAlignment="1">
      <alignment horizontal="center"/>
    </xf>
    <xf numFmtId="0" fontId="24" fillId="2" borderId="78" xfId="0" applyFont="1" applyFill="1" applyBorder="1" applyAlignment="1">
      <alignment horizontal="center"/>
    </xf>
    <xf numFmtId="0" fontId="24" fillId="2" borderId="171" xfId="0" applyFont="1" applyFill="1" applyBorder="1" applyAlignment="1">
      <alignment horizontal="center"/>
    </xf>
    <xf numFmtId="0" fontId="24" fillId="12" borderId="0" xfId="0" applyFont="1" applyFill="1"/>
    <xf numFmtId="0" fontId="25" fillId="2" borderId="167" xfId="0" applyFont="1" applyFill="1" applyBorder="1" applyAlignment="1">
      <alignment horizontal="left"/>
    </xf>
    <xf numFmtId="3" fontId="24" fillId="0" borderId="170" xfId="0" applyNumberFormat="1" applyFont="1" applyBorder="1" applyAlignment="1">
      <alignment horizontal="center"/>
    </xf>
    <xf numFmtId="3" fontId="24" fillId="0" borderId="98" xfId="0" applyNumberFormat="1" applyFont="1" applyBorder="1" applyAlignment="1">
      <alignment horizontal="center"/>
    </xf>
    <xf numFmtId="3" fontId="24" fillId="2" borderId="170" xfId="0" applyNumberFormat="1" applyFont="1" applyFill="1" applyBorder="1" applyAlignment="1">
      <alignment horizontal="center"/>
    </xf>
    <xf numFmtId="3" fontId="24" fillId="2" borderId="25" xfId="0" applyNumberFormat="1" applyFont="1" applyFill="1" applyBorder="1" applyAlignment="1">
      <alignment horizontal="center"/>
    </xf>
    <xf numFmtId="3" fontId="24" fillId="2" borderId="70" xfId="0" applyNumberFormat="1" applyFont="1" applyFill="1" applyBorder="1" applyAlignment="1">
      <alignment horizontal="center"/>
    </xf>
    <xf numFmtId="3" fontId="24" fillId="2" borderId="98" xfId="0" applyNumberFormat="1" applyFont="1" applyFill="1" applyBorder="1" applyAlignment="1">
      <alignment horizontal="center"/>
    </xf>
    <xf numFmtId="3" fontId="24" fillId="2" borderId="85" xfId="0" applyNumberFormat="1" applyFont="1" applyFill="1" applyBorder="1" applyAlignment="1">
      <alignment horizontal="center"/>
    </xf>
    <xf numFmtId="3" fontId="24" fillId="2" borderId="86" xfId="0" applyNumberFormat="1" applyFont="1" applyFill="1" applyBorder="1" applyAlignment="1">
      <alignment horizontal="center"/>
    </xf>
    <xf numFmtId="3" fontId="24" fillId="2" borderId="24" xfId="0" applyNumberFormat="1" applyFont="1" applyFill="1" applyBorder="1" applyAlignment="1">
      <alignment horizontal="center"/>
    </xf>
    <xf numFmtId="3" fontId="45" fillId="2" borderId="24" xfId="0" applyNumberFormat="1" applyFont="1" applyFill="1" applyBorder="1" applyAlignment="1">
      <alignment horizontal="center"/>
    </xf>
    <xf numFmtId="3" fontId="16" fillId="2" borderId="70" xfId="0" applyNumberFormat="1" applyFont="1" applyFill="1" applyBorder="1" applyAlignment="1">
      <alignment horizontal="center"/>
    </xf>
    <xf numFmtId="3" fontId="16" fillId="2" borderId="98" xfId="0" applyNumberFormat="1" applyFont="1" applyFill="1" applyBorder="1" applyAlignment="1">
      <alignment horizontal="center"/>
    </xf>
    <xf numFmtId="0" fontId="25" fillId="0" borderId="167" xfId="0" applyFont="1" applyBorder="1"/>
    <xf numFmtId="0" fontId="14" fillId="13" borderId="167" xfId="0" applyFont="1" applyFill="1" applyBorder="1" applyAlignment="1">
      <alignment horizontal="right"/>
    </xf>
    <xf numFmtId="3" fontId="14" fillId="14" borderId="170" xfId="0" applyNumberFormat="1" applyFont="1" applyFill="1" applyBorder="1" applyAlignment="1">
      <alignment horizontal="center"/>
    </xf>
    <xf numFmtId="3" fontId="14" fillId="14" borderId="25" xfId="0" applyNumberFormat="1" applyFont="1" applyFill="1" applyBorder="1" applyAlignment="1">
      <alignment horizontal="center"/>
    </xf>
    <xf numFmtId="3" fontId="14" fillId="14" borderId="70" xfId="0" applyNumberFormat="1" applyFont="1" applyFill="1" applyBorder="1" applyAlignment="1">
      <alignment horizontal="center"/>
    </xf>
    <xf numFmtId="3" fontId="14" fillId="14" borderId="98" xfId="0" applyNumberFormat="1" applyFont="1" applyFill="1" applyBorder="1" applyAlignment="1">
      <alignment horizontal="center"/>
    </xf>
    <xf numFmtId="3" fontId="14" fillId="14" borderId="89" xfId="0" applyNumberFormat="1" applyFont="1" applyFill="1" applyBorder="1" applyAlignment="1">
      <alignment horizontal="center"/>
    </xf>
    <xf numFmtId="3" fontId="14" fillId="14" borderId="86" xfId="0" applyNumberFormat="1" applyFont="1" applyFill="1" applyBorder="1" applyAlignment="1">
      <alignment horizontal="center"/>
    </xf>
    <xf numFmtId="3" fontId="23" fillId="14" borderId="24" xfId="0" applyNumberFormat="1" applyFont="1" applyFill="1" applyBorder="1" applyAlignment="1">
      <alignment horizontal="center"/>
    </xf>
    <xf numFmtId="3" fontId="24" fillId="0" borderId="0" xfId="0" applyNumberFormat="1" applyFont="1"/>
    <xf numFmtId="0" fontId="24" fillId="13" borderId="0" xfId="0" applyFont="1" applyFill="1"/>
    <xf numFmtId="0" fontId="24" fillId="2" borderId="86" xfId="0" applyFont="1" applyFill="1" applyBorder="1" applyAlignment="1">
      <alignment horizontal="center"/>
    </xf>
    <xf numFmtId="2" fontId="45" fillId="2" borderId="24" xfId="0" applyNumberFormat="1" applyFont="1" applyFill="1" applyBorder="1" applyAlignment="1">
      <alignment horizontal="center"/>
    </xf>
    <xf numFmtId="0" fontId="46" fillId="0" borderId="167" xfId="0" applyFont="1" applyBorder="1" applyAlignment="1">
      <alignment horizontal="left"/>
    </xf>
    <xf numFmtId="1" fontId="24" fillId="2" borderId="170" xfId="0" applyNumberFormat="1" applyFont="1" applyFill="1" applyBorder="1" applyAlignment="1">
      <alignment horizontal="center"/>
    </xf>
    <xf numFmtId="1" fontId="24" fillId="2" borderId="98" xfId="0" applyNumberFormat="1" applyFont="1" applyFill="1" applyBorder="1" applyAlignment="1">
      <alignment horizontal="center"/>
    </xf>
    <xf numFmtId="1" fontId="24" fillId="2" borderId="25" xfId="0" applyNumberFormat="1" applyFont="1" applyFill="1" applyBorder="1" applyAlignment="1">
      <alignment horizontal="center"/>
    </xf>
    <xf numFmtId="1" fontId="24" fillId="2" borderId="70" xfId="0" applyNumberFormat="1" applyFont="1" applyFill="1" applyBorder="1" applyAlignment="1">
      <alignment horizontal="center"/>
    </xf>
    <xf numFmtId="1" fontId="24" fillId="2" borderId="85" xfId="0" applyNumberFormat="1" applyFont="1" applyFill="1" applyBorder="1" applyAlignment="1">
      <alignment horizontal="center"/>
    </xf>
    <xf numFmtId="1" fontId="24" fillId="2" borderId="86" xfId="0" applyNumberFormat="1" applyFont="1" applyFill="1" applyBorder="1" applyAlignment="1">
      <alignment horizontal="center"/>
    </xf>
    <xf numFmtId="1" fontId="24" fillId="2" borderId="24" xfId="0" applyNumberFormat="1" applyFont="1" applyFill="1" applyBorder="1" applyAlignment="1">
      <alignment horizontal="center"/>
    </xf>
    <xf numFmtId="2" fontId="24" fillId="2" borderId="170" xfId="0" applyNumberFormat="1" applyFont="1" applyFill="1" applyBorder="1" applyAlignment="1">
      <alignment horizontal="center"/>
    </xf>
    <xf numFmtId="2" fontId="24" fillId="2" borderId="98" xfId="0" applyNumberFormat="1" applyFont="1" applyFill="1" applyBorder="1" applyAlignment="1">
      <alignment horizontal="center"/>
    </xf>
    <xf numFmtId="2" fontId="24" fillId="2" borderId="25" xfId="0" applyNumberFormat="1" applyFont="1" applyFill="1" applyBorder="1" applyAlignment="1">
      <alignment horizontal="center"/>
    </xf>
    <xf numFmtId="2" fontId="24" fillId="2" borderId="85" xfId="0" applyNumberFormat="1" applyFont="1" applyFill="1" applyBorder="1" applyAlignment="1">
      <alignment horizontal="center"/>
    </xf>
    <xf numFmtId="2" fontId="24" fillId="2" borderId="86" xfId="0" applyNumberFormat="1" applyFont="1" applyFill="1" applyBorder="1" applyAlignment="1">
      <alignment horizontal="center"/>
    </xf>
    <xf numFmtId="2" fontId="24" fillId="2" borderId="24" xfId="0" applyNumberFormat="1" applyFont="1" applyFill="1" applyBorder="1" applyAlignment="1">
      <alignment horizontal="center"/>
    </xf>
    <xf numFmtId="2" fontId="24" fillId="2" borderId="70" xfId="0" applyNumberFormat="1" applyFont="1" applyFill="1" applyBorder="1" applyAlignment="1">
      <alignment horizontal="center"/>
    </xf>
    <xf numFmtId="0" fontId="46" fillId="0" borderId="169" xfId="0" applyFont="1" applyBorder="1"/>
    <xf numFmtId="1" fontId="24" fillId="0" borderId="170" xfId="0" applyNumberFormat="1" applyFont="1" applyBorder="1" applyAlignment="1">
      <alignment horizontal="center"/>
    </xf>
    <xf numFmtId="1" fontId="24" fillId="0" borderId="98" xfId="0" applyNumberFormat="1" applyFont="1" applyBorder="1" applyAlignment="1">
      <alignment horizontal="center"/>
    </xf>
    <xf numFmtId="0" fontId="14" fillId="15" borderId="172" xfId="0" applyFont="1" applyFill="1" applyBorder="1" applyAlignment="1">
      <alignment horizontal="right"/>
    </xf>
    <xf numFmtId="1" fontId="14" fillId="15" borderId="173" xfId="0" applyNumberFormat="1" applyFont="1" applyFill="1" applyBorder="1" applyAlignment="1">
      <alignment horizontal="center"/>
    </xf>
    <xf numFmtId="1" fontId="14" fillId="15" borderId="10" xfId="0" applyNumberFormat="1" applyFont="1" applyFill="1" applyBorder="1" applyAlignment="1">
      <alignment horizontal="center"/>
    </xf>
    <xf numFmtId="1" fontId="14" fillId="15" borderId="174" xfId="0" applyNumberFormat="1" applyFont="1" applyFill="1" applyBorder="1" applyAlignment="1">
      <alignment horizontal="center"/>
    </xf>
    <xf numFmtId="1" fontId="14" fillId="15" borderId="175" xfId="0" applyNumberFormat="1" applyFont="1" applyFill="1" applyBorder="1" applyAlignment="1">
      <alignment horizontal="center"/>
    </xf>
    <xf numFmtId="1" fontId="14" fillId="15" borderId="9" xfId="0" applyNumberFormat="1" applyFont="1" applyFill="1" applyBorder="1" applyAlignment="1">
      <alignment horizontal="center"/>
    </xf>
    <xf numFmtId="1" fontId="14" fillId="15" borderId="176" xfId="0" applyNumberFormat="1" applyFont="1" applyFill="1" applyBorder="1" applyAlignment="1">
      <alignment horizontal="center"/>
    </xf>
    <xf numFmtId="3" fontId="14" fillId="15" borderId="174" xfId="0" applyNumberFormat="1" applyFont="1" applyFill="1" applyBorder="1" applyAlignment="1">
      <alignment horizontal="center"/>
    </xf>
    <xf numFmtId="3" fontId="14" fillId="15" borderId="175" xfId="0" applyNumberFormat="1" applyFont="1" applyFill="1" applyBorder="1" applyAlignment="1">
      <alignment horizontal="center"/>
    </xf>
    <xf numFmtId="2" fontId="45" fillId="15" borderId="177" xfId="0" applyNumberFormat="1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1" fontId="24" fillId="2" borderId="11" xfId="0" applyNumberFormat="1" applyFont="1" applyFill="1" applyBorder="1" applyAlignment="1">
      <alignment horizontal="center"/>
    </xf>
    <xf numFmtId="1" fontId="24" fillId="2" borderId="75" xfId="0" applyNumberFormat="1" applyFont="1" applyFill="1" applyBorder="1" applyAlignment="1">
      <alignment horizontal="center"/>
    </xf>
    <xf numFmtId="0" fontId="24" fillId="0" borderId="11" xfId="0" applyFont="1" applyBorder="1"/>
    <xf numFmtId="0" fontId="24" fillId="2" borderId="71" xfId="0" applyFont="1" applyFill="1" applyBorder="1" applyAlignment="1">
      <alignment horizontal="center"/>
    </xf>
    <xf numFmtId="0" fontId="47" fillId="0" borderId="25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5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24" fillId="0" borderId="84" xfId="0" applyFont="1" applyBorder="1" applyAlignment="1">
      <alignment horizontal="center"/>
    </xf>
    <xf numFmtId="0" fontId="24" fillId="0" borderId="76" xfId="0" applyFont="1" applyBorder="1" applyAlignment="1">
      <alignment horizontal="center"/>
    </xf>
    <xf numFmtId="0" fontId="24" fillId="16" borderId="76" xfId="0" applyFont="1" applyFill="1" applyBorder="1" applyAlignment="1">
      <alignment horizontal="center"/>
    </xf>
    <xf numFmtId="0" fontId="14" fillId="12" borderId="24" xfId="0" applyFont="1" applyFill="1" applyBorder="1"/>
    <xf numFmtId="0" fontId="24" fillId="12" borderId="98" xfId="0" applyFont="1" applyFill="1" applyBorder="1" applyAlignment="1">
      <alignment horizontal="center"/>
    </xf>
    <xf numFmtId="0" fontId="24" fillId="12" borderId="85" xfId="0" applyFont="1" applyFill="1" applyBorder="1" applyAlignment="1">
      <alignment horizontal="center"/>
    </xf>
    <xf numFmtId="0" fontId="24" fillId="12" borderId="24" xfId="0" applyFont="1" applyFill="1" applyBorder="1" applyAlignment="1">
      <alignment horizontal="center"/>
    </xf>
    <xf numFmtId="0" fontId="24" fillId="12" borderId="171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left"/>
    </xf>
    <xf numFmtId="3" fontId="24" fillId="0" borderId="85" xfId="0" applyNumberFormat="1" applyFont="1" applyBorder="1" applyAlignment="1">
      <alignment horizontal="center"/>
    </xf>
    <xf numFmtId="3" fontId="24" fillId="0" borderId="24" xfId="0" applyNumberFormat="1" applyFont="1" applyBorder="1" applyAlignment="1">
      <alignment horizontal="center"/>
    </xf>
    <xf numFmtId="0" fontId="25" fillId="2" borderId="10" xfId="0" applyFont="1" applyFill="1" applyBorder="1" applyAlignment="1">
      <alignment horizontal="left"/>
    </xf>
    <xf numFmtId="3" fontId="24" fillId="0" borderId="175" xfId="0" applyNumberFormat="1" applyFont="1" applyBorder="1" applyAlignment="1">
      <alignment horizontal="center"/>
    </xf>
    <xf numFmtId="3" fontId="24" fillId="0" borderId="178" xfId="0" applyNumberFormat="1" applyFont="1" applyBorder="1" applyAlignment="1">
      <alignment horizontal="center"/>
    </xf>
    <xf numFmtId="3" fontId="24" fillId="0" borderId="177" xfId="0" applyNumberFormat="1" applyFont="1" applyBorder="1" applyAlignment="1">
      <alignment horizontal="center"/>
    </xf>
    <xf numFmtId="3" fontId="24" fillId="2" borderId="175" xfId="0" applyNumberFormat="1" applyFont="1" applyFill="1" applyBorder="1" applyAlignment="1">
      <alignment horizontal="center"/>
    </xf>
    <xf numFmtId="0" fontId="14" fillId="13" borderId="15" xfId="0" applyFont="1" applyFill="1" applyBorder="1" applyAlignment="1">
      <alignment horizontal="center"/>
    </xf>
    <xf numFmtId="3" fontId="14" fillId="13" borderId="13" xfId="0" applyNumberFormat="1" applyFont="1" applyFill="1" applyBorder="1" applyAlignment="1">
      <alignment horizontal="center"/>
    </xf>
    <xf numFmtId="3" fontId="14" fillId="13" borderId="11" xfId="0" applyNumberFormat="1" applyFont="1" applyFill="1" applyBorder="1" applyAlignment="1">
      <alignment horizontal="center"/>
    </xf>
    <xf numFmtId="3" fontId="14" fillId="13" borderId="15" xfId="0" applyNumberFormat="1" applyFont="1" applyFill="1" applyBorder="1" applyAlignment="1">
      <alignment horizontal="center"/>
    </xf>
    <xf numFmtId="3" fontId="14" fillId="13" borderId="32" xfId="0" applyNumberFormat="1" applyFont="1" applyFill="1" applyBorder="1" applyAlignment="1">
      <alignment horizontal="center"/>
    </xf>
    <xf numFmtId="3" fontId="14" fillId="13" borderId="75" xfId="0" applyNumberFormat="1" applyFont="1" applyFill="1" applyBorder="1" applyAlignment="1">
      <alignment horizontal="center"/>
    </xf>
    <xf numFmtId="0" fontId="14" fillId="12" borderId="72" xfId="0" applyFont="1" applyFill="1" applyBorder="1"/>
    <xf numFmtId="0" fontId="24" fillId="12" borderId="49" xfId="0" applyFont="1" applyFill="1" applyBorder="1" applyAlignment="1">
      <alignment horizontal="center"/>
    </xf>
    <xf numFmtId="0" fontId="24" fillId="12" borderId="18" xfId="0" applyFont="1" applyFill="1" applyBorder="1" applyAlignment="1">
      <alignment horizontal="center"/>
    </xf>
    <xf numFmtId="0" fontId="24" fillId="12" borderId="76" xfId="0" applyFont="1" applyFill="1" applyBorder="1" applyAlignment="1">
      <alignment horizontal="center"/>
    </xf>
    <xf numFmtId="3" fontId="24" fillId="2" borderId="171" xfId="0" applyNumberFormat="1" applyFont="1" applyFill="1" applyBorder="1" applyAlignment="1">
      <alignment horizontal="center"/>
    </xf>
    <xf numFmtId="0" fontId="24" fillId="0" borderId="25" xfId="0" applyFont="1" applyBorder="1" applyAlignment="1">
      <alignment horizontal="left"/>
    </xf>
    <xf numFmtId="1" fontId="24" fillId="0" borderId="85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24" fillId="0" borderId="85" xfId="0" applyNumberFormat="1" applyFont="1" applyBorder="1" applyAlignment="1">
      <alignment horizontal="center"/>
    </xf>
    <xf numFmtId="0" fontId="24" fillId="0" borderId="98" xfId="0" applyFont="1" applyBorder="1" applyAlignment="1">
      <alignment horizontal="left"/>
    </xf>
    <xf numFmtId="2" fontId="24" fillId="0" borderId="24" xfId="0" applyNumberFormat="1" applyFont="1" applyBorder="1" applyAlignment="1">
      <alignment horizontal="center"/>
    </xf>
    <xf numFmtId="2" fontId="24" fillId="0" borderId="98" xfId="0" applyNumberFormat="1" applyFont="1" applyBorder="1" applyAlignment="1">
      <alignment horizontal="center"/>
    </xf>
    <xf numFmtId="0" fontId="24" fillId="0" borderId="24" xfId="0" applyFont="1" applyBorder="1" applyAlignment="1">
      <alignment horizontal="left" wrapText="1"/>
    </xf>
    <xf numFmtId="0" fontId="24" fillId="0" borderId="10" xfId="0" applyFont="1" applyBorder="1" applyAlignment="1">
      <alignment horizontal="left"/>
    </xf>
    <xf numFmtId="0" fontId="14" fillId="15" borderId="15" xfId="0" applyFont="1" applyFill="1" applyBorder="1" applyAlignment="1">
      <alignment horizontal="center"/>
    </xf>
    <xf numFmtId="1" fontId="14" fillId="15" borderId="77" xfId="0" applyNumberFormat="1" applyFont="1" applyFill="1" applyBorder="1" applyAlignment="1">
      <alignment horizontal="center"/>
    </xf>
    <xf numFmtId="3" fontId="14" fillId="15" borderId="13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3" fontId="21" fillId="3" borderId="4" xfId="1" applyNumberFormat="1" applyFont="1" applyFill="1" applyBorder="1" applyAlignment="1">
      <alignment horizontal="center" vertical="center" wrapText="1"/>
    </xf>
    <xf numFmtId="3" fontId="7" fillId="2" borderId="67" xfId="1" applyNumberFormat="1" applyFont="1" applyFill="1" applyBorder="1" applyAlignment="1">
      <alignment horizontal="center"/>
    </xf>
  </cellXfs>
  <cellStyles count="3">
    <cellStyle name="Normal" xfId="0" builtinId="0"/>
    <cellStyle name="Normal_tame 2010 gadam" xfId="1" xr:uid="{9F908E8D-A17B-354A-BD19-D104F304DB6E}"/>
    <cellStyle name="Per cent" xfId="2" builtinId="5"/>
  </cellStyles>
  <dxfs count="0"/>
  <tableStyles count="0" defaultTableStyle="TableStyleMedium2" defaultPivotStyle="PivotStyleLight16"/>
  <colors>
    <mruColors>
      <color rgb="FF00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150E-C658-2744-9892-1021E3B96184}">
  <sheetPr>
    <pageSetUpPr fitToPage="1"/>
  </sheetPr>
  <dimension ref="A1:U115"/>
  <sheetViews>
    <sheetView tabSelected="1" zoomScaleNormal="100" workbookViewId="0">
      <pane xSplit="8" ySplit="4" topLeftCell="I5" activePane="bottomRight" state="frozen"/>
      <selection pane="topRight" activeCell="G1" sqref="G1"/>
      <selection pane="bottomLeft" activeCell="A7" sqref="A7"/>
      <selection pane="bottomRight" sqref="A1:B1"/>
    </sheetView>
  </sheetViews>
  <sheetFormatPr baseColWidth="10" defaultColWidth="9" defaultRowHeight="16" outlineLevelCol="1"/>
  <cols>
    <col min="1" max="1" width="10" style="1" customWidth="1"/>
    <col min="2" max="2" width="64" style="3" customWidth="1"/>
    <col min="3" max="3" width="12.33203125" style="4" customWidth="1"/>
    <col min="4" max="4" width="11.83203125" style="4" customWidth="1"/>
    <col min="5" max="5" width="11" style="4" customWidth="1"/>
    <col min="6" max="6" width="11.33203125" style="4" customWidth="1"/>
    <col min="7" max="7" width="11.83203125" style="4" customWidth="1"/>
    <col min="8" max="8" width="11.33203125" style="4" hidden="1" customWidth="1"/>
    <col min="9" max="20" width="11.83203125" style="102" hidden="1" customWidth="1" outlineLevel="1"/>
    <col min="21" max="21" width="9" style="3" collapsed="1"/>
    <col min="22" max="16384" width="9" style="3"/>
  </cols>
  <sheetData>
    <row r="1" spans="1:20">
      <c r="A1" s="426" t="s">
        <v>0</v>
      </c>
      <c r="B1" s="426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7" thickBot="1">
      <c r="A2" s="426" t="s">
        <v>391</v>
      </c>
      <c r="B2" s="426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1" customFormat="1" ht="32.25" customHeight="1" thickBot="1">
      <c r="A3" s="427"/>
      <c r="B3" s="428"/>
      <c r="C3" s="7" t="s">
        <v>1</v>
      </c>
      <c r="D3" s="7" t="s">
        <v>2</v>
      </c>
      <c r="E3" s="7" t="s">
        <v>131</v>
      </c>
      <c r="F3" s="8" t="s">
        <v>146</v>
      </c>
      <c r="G3" s="7" t="s">
        <v>193</v>
      </c>
      <c r="H3" s="8" t="s">
        <v>146</v>
      </c>
      <c r="I3" s="9" t="s">
        <v>3</v>
      </c>
      <c r="J3" s="9" t="s">
        <v>4</v>
      </c>
      <c r="K3" s="9" t="s">
        <v>5</v>
      </c>
      <c r="L3" s="9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</row>
    <row r="4" spans="1:20" s="18" customFormat="1" ht="15" customHeight="1" thickBot="1">
      <c r="A4" s="12"/>
      <c r="B4" s="13" t="s">
        <v>15</v>
      </c>
      <c r="C4" s="160"/>
      <c r="D4" s="160">
        <v>96522</v>
      </c>
      <c r="E4" s="14"/>
      <c r="F4" s="604">
        <v>8923</v>
      </c>
      <c r="G4" s="160">
        <v>47387</v>
      </c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s="25" customFormat="1" ht="21" customHeight="1" thickBot="1">
      <c r="A5" s="19">
        <v>1</v>
      </c>
      <c r="B5" s="20" t="s">
        <v>151</v>
      </c>
      <c r="C5" s="161">
        <f t="shared" ref="C5:S5" si="0">C6+C16+C19+C30</f>
        <v>390749</v>
      </c>
      <c r="D5" s="161">
        <f t="shared" si="0"/>
        <v>326856</v>
      </c>
      <c r="E5" s="21">
        <f t="shared" si="0"/>
        <v>360028</v>
      </c>
      <c r="F5" s="22">
        <f>F6+F16+F19+F30</f>
        <v>608188.55000000005</v>
      </c>
      <c r="G5" s="21">
        <f>G6+G16+G19+G30</f>
        <v>268610</v>
      </c>
      <c r="H5" s="22">
        <f>H6+H16+H19+H30</f>
        <v>608188.55000000005</v>
      </c>
      <c r="I5" s="23">
        <f t="shared" si="0"/>
        <v>10859.32</v>
      </c>
      <c r="J5" s="23">
        <f t="shared" si="0"/>
        <v>37858</v>
      </c>
      <c r="K5" s="23">
        <f t="shared" si="0"/>
        <v>24012.31</v>
      </c>
      <c r="L5" s="23">
        <f t="shared" si="0"/>
        <v>89676.920000000013</v>
      </c>
      <c r="M5" s="23">
        <f t="shared" si="0"/>
        <v>14837.009999999998</v>
      </c>
      <c r="N5" s="23">
        <f t="shared" si="0"/>
        <v>105978.4</v>
      </c>
      <c r="O5" s="23">
        <f t="shared" si="0"/>
        <v>114942.93</v>
      </c>
      <c r="P5" s="23">
        <f t="shared" si="0"/>
        <v>61966.29</v>
      </c>
      <c r="Q5" s="23">
        <f t="shared" si="0"/>
        <v>39254.58</v>
      </c>
      <c r="R5" s="23">
        <f t="shared" si="0"/>
        <v>22446.25</v>
      </c>
      <c r="S5" s="23">
        <f t="shared" si="0"/>
        <v>23906.22</v>
      </c>
      <c r="T5" s="24">
        <f>T6+T16+T19+T30</f>
        <v>62450.32</v>
      </c>
    </row>
    <row r="6" spans="1:20" s="32" customFormat="1" ht="17" thickBot="1">
      <c r="A6" s="26" t="s">
        <v>16</v>
      </c>
      <c r="B6" s="27" t="s">
        <v>17</v>
      </c>
      <c r="C6" s="162">
        <f t="shared" ref="C6:T6" si="1">SUM(C7:C15)</f>
        <v>160007</v>
      </c>
      <c r="D6" s="162">
        <f t="shared" si="1"/>
        <v>85583</v>
      </c>
      <c r="E6" s="28">
        <f t="shared" si="1"/>
        <v>53970</v>
      </c>
      <c r="F6" s="29">
        <f t="shared" ref="F6" si="2">SUM(F7:F15)</f>
        <v>97301</v>
      </c>
      <c r="G6" s="28">
        <f t="shared" ref="G6" si="3">SUM(G7:G15)</f>
        <v>53970</v>
      </c>
      <c r="H6" s="29">
        <f t="shared" si="1"/>
        <v>97301</v>
      </c>
      <c r="I6" s="30">
        <f t="shared" si="1"/>
        <v>0</v>
      </c>
      <c r="J6" s="30">
        <f t="shared" si="1"/>
        <v>0</v>
      </c>
      <c r="K6" s="30">
        <f t="shared" si="1"/>
        <v>0</v>
      </c>
      <c r="L6" s="30">
        <f t="shared" si="1"/>
        <v>23166</v>
      </c>
      <c r="M6" s="30">
        <f t="shared" si="1"/>
        <v>0</v>
      </c>
      <c r="N6" s="30">
        <f t="shared" si="1"/>
        <v>4062</v>
      </c>
      <c r="O6" s="30">
        <f t="shared" si="1"/>
        <v>49330</v>
      </c>
      <c r="P6" s="30">
        <f t="shared" si="1"/>
        <v>525</v>
      </c>
      <c r="Q6" s="30">
        <f t="shared" si="1"/>
        <v>1966</v>
      </c>
      <c r="R6" s="30">
        <f t="shared" si="1"/>
        <v>4340</v>
      </c>
      <c r="S6" s="30">
        <f t="shared" si="1"/>
        <v>4693</v>
      </c>
      <c r="T6" s="31">
        <f t="shared" si="1"/>
        <v>9219</v>
      </c>
    </row>
    <row r="7" spans="1:20" s="39" customFormat="1" ht="14">
      <c r="A7" s="33" t="s">
        <v>18</v>
      </c>
      <c r="B7" s="34" t="s">
        <v>181</v>
      </c>
      <c r="C7" s="163">
        <v>27350</v>
      </c>
      <c r="D7" s="163">
        <v>33694</v>
      </c>
      <c r="E7" s="35">
        <v>53970</v>
      </c>
      <c r="F7" s="36">
        <v>53970</v>
      </c>
      <c r="G7" s="35">
        <v>53970</v>
      </c>
      <c r="H7" s="36">
        <f>SUM(I7:T7)</f>
        <v>53970</v>
      </c>
      <c r="I7" s="37"/>
      <c r="J7" s="37"/>
      <c r="K7" s="37"/>
      <c r="L7" s="37">
        <v>23166</v>
      </c>
      <c r="M7" s="37"/>
      <c r="N7" s="37"/>
      <c r="O7" s="37">
        <v>30804</v>
      </c>
      <c r="P7" s="37"/>
      <c r="Q7" s="37"/>
      <c r="R7" s="37"/>
      <c r="S7" s="37"/>
      <c r="T7" s="38"/>
    </row>
    <row r="8" spans="1:20" s="39" customFormat="1" ht="14">
      <c r="A8" s="40" t="s">
        <v>19</v>
      </c>
      <c r="B8" s="34" t="s">
        <v>20</v>
      </c>
      <c r="C8" s="163">
        <v>27050</v>
      </c>
      <c r="D8" s="163">
        <v>21814</v>
      </c>
      <c r="E8" s="35"/>
      <c r="F8" s="36"/>
      <c r="G8" s="35"/>
      <c r="H8" s="36">
        <f t="shared" ref="H8:H18" si="4">SUM(I8:T8)</f>
        <v>0</v>
      </c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41"/>
    </row>
    <row r="9" spans="1:20" s="39" customFormat="1" ht="14">
      <c r="A9" s="40" t="s">
        <v>21</v>
      </c>
      <c r="B9" s="34" t="s">
        <v>196</v>
      </c>
      <c r="C9" s="163">
        <v>40407</v>
      </c>
      <c r="D9" s="163"/>
      <c r="E9" s="35"/>
      <c r="F9" s="36"/>
      <c r="G9" s="35"/>
      <c r="H9" s="36">
        <f>SUM(I9:T9)</f>
        <v>0</v>
      </c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41"/>
    </row>
    <row r="10" spans="1:20" s="39" customFormat="1" ht="14">
      <c r="A10" s="40" t="s">
        <v>22</v>
      </c>
      <c r="B10" s="34" t="s">
        <v>186</v>
      </c>
      <c r="C10" s="163">
        <v>6000</v>
      </c>
      <c r="D10" s="163">
        <v>1875</v>
      </c>
      <c r="E10" s="35"/>
      <c r="F10" s="36">
        <v>1094</v>
      </c>
      <c r="G10" s="35"/>
      <c r="H10" s="36">
        <f t="shared" si="4"/>
        <v>1094</v>
      </c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>
        <v>1094</v>
      </c>
      <c r="T10" s="41"/>
    </row>
    <row r="11" spans="1:20" s="39" customFormat="1" ht="14">
      <c r="A11" s="40" t="s">
        <v>23</v>
      </c>
      <c r="B11" s="34" t="s">
        <v>182</v>
      </c>
      <c r="C11" s="163">
        <v>19200</v>
      </c>
      <c r="D11" s="163">
        <v>12000</v>
      </c>
      <c r="E11" s="35"/>
      <c r="F11" s="36">
        <v>14467</v>
      </c>
      <c r="G11" s="35"/>
      <c r="H11" s="36">
        <f t="shared" si="4"/>
        <v>14467</v>
      </c>
      <c r="I11" s="188"/>
      <c r="J11" s="188"/>
      <c r="K11" s="188"/>
      <c r="L11" s="188"/>
      <c r="M11" s="188"/>
      <c r="N11" s="188"/>
      <c r="O11" s="188">
        <f>4533+5594</f>
        <v>10127</v>
      </c>
      <c r="P11" s="188"/>
      <c r="Q11" s="188"/>
      <c r="R11" s="188">
        <v>4340</v>
      </c>
      <c r="S11" s="188"/>
      <c r="T11" s="41"/>
    </row>
    <row r="12" spans="1:20" s="39" customFormat="1" ht="14">
      <c r="A12" s="40" t="s">
        <v>24</v>
      </c>
      <c r="B12" s="34" t="s">
        <v>187</v>
      </c>
      <c r="C12" s="163">
        <v>40000</v>
      </c>
      <c r="D12" s="163">
        <v>16200</v>
      </c>
      <c r="E12" s="35"/>
      <c r="F12" s="36">
        <v>11998</v>
      </c>
      <c r="G12" s="35"/>
      <c r="H12" s="36">
        <f t="shared" si="4"/>
        <v>11998</v>
      </c>
      <c r="I12" s="188"/>
      <c r="J12" s="188"/>
      <c r="K12" s="188"/>
      <c r="L12" s="188"/>
      <c r="M12" s="188"/>
      <c r="N12" s="188"/>
      <c r="O12" s="188">
        <v>8399</v>
      </c>
      <c r="P12" s="188"/>
      <c r="Q12" s="188"/>
      <c r="R12" s="188"/>
      <c r="S12" s="188">
        <v>3599</v>
      </c>
      <c r="T12" s="41"/>
    </row>
    <row r="13" spans="1:20" s="39" customFormat="1" ht="14">
      <c r="A13" s="40" t="s">
        <v>25</v>
      </c>
      <c r="B13" s="186" t="s">
        <v>185</v>
      </c>
      <c r="C13" s="170"/>
      <c r="D13" s="170"/>
      <c r="E13" s="70"/>
      <c r="F13" s="187">
        <v>5803</v>
      </c>
      <c r="G13" s="70"/>
      <c r="H13" s="187">
        <f t="shared" si="4"/>
        <v>5803</v>
      </c>
      <c r="I13" s="188"/>
      <c r="J13" s="188"/>
      <c r="K13" s="188"/>
      <c r="L13" s="188"/>
      <c r="M13" s="188"/>
      <c r="N13" s="43">
        <v>4062</v>
      </c>
      <c r="O13" s="43"/>
      <c r="P13" s="43"/>
      <c r="Q13" s="43">
        <v>1741</v>
      </c>
      <c r="R13" s="43"/>
      <c r="S13" s="43"/>
      <c r="T13" s="44"/>
    </row>
    <row r="14" spans="1:20" s="39" customFormat="1" ht="14">
      <c r="A14" s="40" t="s">
        <v>183</v>
      </c>
      <c r="B14" s="189" t="s">
        <v>184</v>
      </c>
      <c r="C14" s="190"/>
      <c r="D14" s="190"/>
      <c r="E14" s="191"/>
      <c r="F14" s="192">
        <v>1219</v>
      </c>
      <c r="G14" s="191"/>
      <c r="H14" s="192">
        <f t="shared" si="4"/>
        <v>1219</v>
      </c>
      <c r="I14" s="188"/>
      <c r="J14" s="188"/>
      <c r="K14" s="188"/>
      <c r="L14" s="188"/>
      <c r="M14" s="188"/>
      <c r="N14" s="188"/>
      <c r="O14" s="188"/>
      <c r="P14" s="188">
        <v>525</v>
      </c>
      <c r="Q14" s="188">
        <v>225</v>
      </c>
      <c r="R14" s="188"/>
      <c r="S14" s="188"/>
      <c r="T14" s="44">
        <v>469</v>
      </c>
    </row>
    <row r="15" spans="1:20" s="39" customFormat="1" ht="15" thickBot="1">
      <c r="A15" s="40" t="s">
        <v>190</v>
      </c>
      <c r="B15" s="189" t="s">
        <v>191</v>
      </c>
      <c r="C15" s="190"/>
      <c r="D15" s="190"/>
      <c r="E15" s="191"/>
      <c r="F15" s="192">
        <v>8750</v>
      </c>
      <c r="G15" s="191"/>
      <c r="H15" s="192">
        <f t="shared" si="4"/>
        <v>8750</v>
      </c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44">
        <v>8750</v>
      </c>
    </row>
    <row r="16" spans="1:20" s="46" customFormat="1" ht="16.5" customHeight="1" thickBot="1">
      <c r="A16" s="45" t="s">
        <v>26</v>
      </c>
      <c r="B16" s="27" t="s">
        <v>27</v>
      </c>
      <c r="C16" s="162">
        <f t="shared" ref="C16:S16" si="5">SUM(C17:C17)</f>
        <v>30000</v>
      </c>
      <c r="D16" s="162">
        <f t="shared" si="5"/>
        <v>30000</v>
      </c>
      <c r="E16" s="28">
        <f t="shared" si="5"/>
        <v>40000</v>
      </c>
      <c r="F16" s="29">
        <f>SUM(F17:F18)</f>
        <v>55368</v>
      </c>
      <c r="G16" s="28">
        <f t="shared" si="5"/>
        <v>40000</v>
      </c>
      <c r="H16" s="29">
        <f>SUM(H17:H18)</f>
        <v>55368</v>
      </c>
      <c r="I16" s="30">
        <f t="shared" si="5"/>
        <v>0</v>
      </c>
      <c r="J16" s="30">
        <f t="shared" si="5"/>
        <v>0</v>
      </c>
      <c r="K16" s="30">
        <f t="shared" si="5"/>
        <v>0</v>
      </c>
      <c r="L16" s="30">
        <f t="shared" si="5"/>
        <v>0</v>
      </c>
      <c r="M16" s="30">
        <f t="shared" si="5"/>
        <v>0</v>
      </c>
      <c r="N16" s="30">
        <f t="shared" si="5"/>
        <v>0</v>
      </c>
      <c r="O16" s="30">
        <f t="shared" si="5"/>
        <v>0</v>
      </c>
      <c r="P16" s="30">
        <f t="shared" si="5"/>
        <v>40000</v>
      </c>
      <c r="Q16" s="30">
        <f t="shared" si="5"/>
        <v>0</v>
      </c>
      <c r="R16" s="30">
        <f t="shared" si="5"/>
        <v>0</v>
      </c>
      <c r="S16" s="30">
        <f t="shared" si="5"/>
        <v>0</v>
      </c>
      <c r="T16" s="31">
        <f>SUM(T17:T18)</f>
        <v>15368</v>
      </c>
    </row>
    <row r="17" spans="1:20" s="39" customFormat="1" ht="14">
      <c r="A17" s="196" t="s">
        <v>28</v>
      </c>
      <c r="B17" s="197" t="s">
        <v>29</v>
      </c>
      <c r="C17" s="198">
        <v>30000</v>
      </c>
      <c r="D17" s="198">
        <v>30000</v>
      </c>
      <c r="E17" s="199">
        <v>40000</v>
      </c>
      <c r="F17" s="221">
        <v>40000</v>
      </c>
      <c r="G17" s="224">
        <v>40000</v>
      </c>
      <c r="H17" s="222">
        <f t="shared" si="4"/>
        <v>40000</v>
      </c>
      <c r="I17" s="200"/>
      <c r="J17" s="200"/>
      <c r="K17" s="200"/>
      <c r="L17" s="200"/>
      <c r="M17" s="200"/>
      <c r="N17" s="200"/>
      <c r="O17" s="200"/>
      <c r="P17" s="200">
        <v>40000</v>
      </c>
      <c r="Q17" s="200"/>
      <c r="R17" s="200"/>
      <c r="S17" s="200"/>
      <c r="T17" s="201"/>
    </row>
    <row r="18" spans="1:20" s="39" customFormat="1" ht="15" thickBot="1">
      <c r="A18" s="47" t="s">
        <v>188</v>
      </c>
      <c r="B18" s="39" t="s">
        <v>189</v>
      </c>
      <c r="C18" s="193"/>
      <c r="D18" s="193"/>
      <c r="E18" s="194"/>
      <c r="F18" s="187">
        <v>15368</v>
      </c>
      <c r="G18" s="115"/>
      <c r="H18" s="223">
        <f t="shared" si="4"/>
        <v>15368</v>
      </c>
      <c r="I18" s="195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>
        <v>15368</v>
      </c>
    </row>
    <row r="19" spans="1:20" s="54" customFormat="1" ht="16.5" customHeight="1" thickBot="1">
      <c r="A19" s="50" t="s">
        <v>30</v>
      </c>
      <c r="B19" s="51" t="s">
        <v>31</v>
      </c>
      <c r="C19" s="164">
        <f t="shared" ref="C19:T19" si="6">SUM(C20:C29)</f>
        <v>110222</v>
      </c>
      <c r="D19" s="164">
        <f t="shared" si="6"/>
        <v>100344</v>
      </c>
      <c r="E19" s="52">
        <f t="shared" si="6"/>
        <v>119573</v>
      </c>
      <c r="F19" s="52">
        <f t="shared" ref="F19" si="7">SUM(F20:F29)</f>
        <v>126820.24</v>
      </c>
      <c r="G19" s="52">
        <f t="shared" ref="G19" si="8">SUM(G20:G29)</f>
        <v>91960</v>
      </c>
      <c r="H19" s="52">
        <f>SUM(H20:H29)</f>
        <v>126820.24</v>
      </c>
      <c r="I19" s="53">
        <f t="shared" si="6"/>
        <v>0</v>
      </c>
      <c r="J19" s="30">
        <f t="shared" si="6"/>
        <v>0</v>
      </c>
      <c r="K19" s="30">
        <f t="shared" si="6"/>
        <v>5382.55</v>
      </c>
      <c r="L19" s="30">
        <f t="shared" si="6"/>
        <v>47124.98</v>
      </c>
      <c r="M19" s="30">
        <f t="shared" si="6"/>
        <v>0</v>
      </c>
      <c r="N19" s="30">
        <f t="shared" si="6"/>
        <v>0</v>
      </c>
      <c r="O19" s="30">
        <f t="shared" si="6"/>
        <v>35864.449999999997</v>
      </c>
      <c r="P19" s="30">
        <f t="shared" si="6"/>
        <v>14222.26</v>
      </c>
      <c r="Q19" s="30">
        <f t="shared" si="6"/>
        <v>19869</v>
      </c>
      <c r="R19" s="30">
        <f t="shared" si="6"/>
        <v>0</v>
      </c>
      <c r="S19" s="30">
        <f t="shared" si="6"/>
        <v>0</v>
      </c>
      <c r="T19" s="31">
        <f t="shared" si="6"/>
        <v>4357</v>
      </c>
    </row>
    <row r="20" spans="1:20" s="39" customFormat="1" ht="14">
      <c r="A20" s="55" t="s">
        <v>32</v>
      </c>
      <c r="B20" s="34" t="s">
        <v>172</v>
      </c>
      <c r="C20" s="163">
        <v>21000</v>
      </c>
      <c r="D20" s="163">
        <v>18000</v>
      </c>
      <c r="E20" s="35">
        <v>12000</v>
      </c>
      <c r="F20" s="36">
        <v>12000</v>
      </c>
      <c r="G20" s="35">
        <v>12000</v>
      </c>
      <c r="H20" s="36">
        <f>SUM(I20:T20)</f>
        <v>12000</v>
      </c>
      <c r="I20" s="37"/>
      <c r="J20" s="37"/>
      <c r="K20" s="37"/>
      <c r="L20" s="37">
        <v>5409</v>
      </c>
      <c r="M20" s="37"/>
      <c r="N20" s="37"/>
      <c r="O20" s="37">
        <v>5409</v>
      </c>
      <c r="P20" s="37"/>
      <c r="Q20" s="37"/>
      <c r="R20" s="37"/>
      <c r="S20" s="37"/>
      <c r="T20" s="38">
        <v>1182</v>
      </c>
    </row>
    <row r="21" spans="1:20" s="39" customFormat="1" ht="14">
      <c r="A21" s="56" t="s">
        <v>33</v>
      </c>
      <c r="B21" s="57" t="s">
        <v>173</v>
      </c>
      <c r="C21" s="165">
        <v>11440</v>
      </c>
      <c r="D21" s="165">
        <v>20144</v>
      </c>
      <c r="E21" s="58">
        <v>15873</v>
      </c>
      <c r="F21" s="36">
        <v>15873</v>
      </c>
      <c r="G21" s="58"/>
      <c r="H21" s="36">
        <f t="shared" ref="H21:H29" si="9">SUM(I21:T21)</f>
        <v>15873</v>
      </c>
      <c r="I21" s="188"/>
      <c r="J21" s="188"/>
      <c r="K21" s="188"/>
      <c r="L21" s="188">
        <v>4849</v>
      </c>
      <c r="M21" s="188"/>
      <c r="N21" s="188"/>
      <c r="O21" s="188"/>
      <c r="P21" s="188"/>
      <c r="Q21" s="188">
        <v>7849</v>
      </c>
      <c r="R21" s="188"/>
      <c r="S21" s="188"/>
      <c r="T21" s="41">
        <v>3175</v>
      </c>
    </row>
    <row r="22" spans="1:20" s="39" customFormat="1" ht="14">
      <c r="A22" s="56" t="s">
        <v>34</v>
      </c>
      <c r="B22" s="57" t="s">
        <v>171</v>
      </c>
      <c r="C22" s="165"/>
      <c r="D22" s="165">
        <v>44600</v>
      </c>
      <c r="E22" s="58">
        <v>78400</v>
      </c>
      <c r="F22" s="36">
        <v>78400</v>
      </c>
      <c r="G22" s="58">
        <v>73600</v>
      </c>
      <c r="H22" s="36">
        <f t="shared" si="9"/>
        <v>78400</v>
      </c>
      <c r="I22" s="188"/>
      <c r="J22" s="188"/>
      <c r="K22" s="188">
        <v>5382.55</v>
      </c>
      <c r="L22" s="188">
        <v>33042</v>
      </c>
      <c r="M22" s="188"/>
      <c r="N22" s="188"/>
      <c r="O22" s="188">
        <v>27955.45</v>
      </c>
      <c r="P22" s="188"/>
      <c r="Q22" s="188">
        <v>12020</v>
      </c>
      <c r="R22" s="188"/>
      <c r="S22" s="188"/>
      <c r="T22" s="41"/>
    </row>
    <row r="23" spans="1:20" s="39" customFormat="1" ht="14">
      <c r="A23" s="56" t="s">
        <v>35</v>
      </c>
      <c r="B23" s="57" t="s">
        <v>174</v>
      </c>
      <c r="C23" s="165"/>
      <c r="D23" s="165"/>
      <c r="E23" s="58">
        <v>13300</v>
      </c>
      <c r="F23" s="36">
        <v>10547.24</v>
      </c>
      <c r="G23" s="58">
        <v>6360</v>
      </c>
      <c r="H23" s="36">
        <f t="shared" si="9"/>
        <v>10547.24</v>
      </c>
      <c r="I23" s="188"/>
      <c r="J23" s="188"/>
      <c r="K23" s="188"/>
      <c r="L23" s="188">
        <v>3824.98</v>
      </c>
      <c r="M23" s="188"/>
      <c r="N23" s="188"/>
      <c r="O23" s="188">
        <v>2500</v>
      </c>
      <c r="P23" s="188">
        <v>4222.26</v>
      </c>
      <c r="Q23" s="188"/>
      <c r="R23" s="188"/>
      <c r="S23" s="188"/>
      <c r="T23" s="41"/>
    </row>
    <row r="24" spans="1:20" s="39" customFormat="1" ht="14">
      <c r="A24" s="56" t="s">
        <v>36</v>
      </c>
      <c r="B24" s="57" t="s">
        <v>149</v>
      </c>
      <c r="C24" s="165"/>
      <c r="D24" s="165">
        <v>7600</v>
      </c>
      <c r="E24" s="58"/>
      <c r="F24" s="36">
        <v>0</v>
      </c>
      <c r="G24" s="58"/>
      <c r="H24" s="36">
        <f t="shared" si="9"/>
        <v>0</v>
      </c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41"/>
    </row>
    <row r="25" spans="1:20" s="39" customFormat="1" ht="14">
      <c r="A25" s="56" t="s">
        <v>38</v>
      </c>
      <c r="B25" s="57" t="s">
        <v>178</v>
      </c>
      <c r="C25" s="165">
        <v>15000</v>
      </c>
      <c r="D25" s="165"/>
      <c r="E25" s="58"/>
      <c r="F25" s="36">
        <v>0</v>
      </c>
      <c r="G25" s="58"/>
      <c r="H25" s="36">
        <f t="shared" si="9"/>
        <v>0</v>
      </c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41"/>
    </row>
    <row r="26" spans="1:20" s="39" customFormat="1" ht="14">
      <c r="A26" s="56" t="s">
        <v>40</v>
      </c>
      <c r="B26" s="57" t="s">
        <v>37</v>
      </c>
      <c r="C26" s="165">
        <v>3065</v>
      </c>
      <c r="D26" s="165"/>
      <c r="E26" s="58"/>
      <c r="F26" s="36">
        <v>0</v>
      </c>
      <c r="G26" s="58"/>
      <c r="H26" s="36">
        <f t="shared" si="9"/>
        <v>0</v>
      </c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41"/>
    </row>
    <row r="27" spans="1:20" s="39" customFormat="1" ht="14">
      <c r="A27" s="56" t="s">
        <v>42</v>
      </c>
      <c r="B27" s="57" t="s">
        <v>39</v>
      </c>
      <c r="C27" s="165">
        <v>9393</v>
      </c>
      <c r="D27" s="165"/>
      <c r="E27" s="58"/>
      <c r="F27" s="36">
        <v>0</v>
      </c>
      <c r="G27" s="58"/>
      <c r="H27" s="36">
        <f t="shared" si="9"/>
        <v>0</v>
      </c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41"/>
    </row>
    <row r="28" spans="1:20" s="39" customFormat="1" ht="14">
      <c r="A28" s="59" t="s">
        <v>147</v>
      </c>
      <c r="B28" s="57" t="s">
        <v>41</v>
      </c>
      <c r="C28" s="165">
        <v>46324</v>
      </c>
      <c r="D28" s="165"/>
      <c r="E28" s="58"/>
      <c r="F28" s="36">
        <v>0</v>
      </c>
      <c r="G28" s="58"/>
      <c r="H28" s="36">
        <f t="shared" si="9"/>
        <v>0</v>
      </c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41"/>
    </row>
    <row r="29" spans="1:20" s="39" customFormat="1" ht="15" thickBot="1">
      <c r="A29" s="59" t="s">
        <v>148</v>
      </c>
      <c r="B29" s="60" t="s">
        <v>43</v>
      </c>
      <c r="C29" s="202">
        <v>4000</v>
      </c>
      <c r="D29" s="163">
        <v>10000</v>
      </c>
      <c r="E29" s="35"/>
      <c r="F29" s="42">
        <v>10000</v>
      </c>
      <c r="G29" s="35"/>
      <c r="H29" s="42">
        <f t="shared" si="9"/>
        <v>10000</v>
      </c>
      <c r="I29" s="43"/>
      <c r="J29" s="43"/>
      <c r="K29" s="43"/>
      <c r="L29" s="43"/>
      <c r="M29" s="43"/>
      <c r="N29" s="43"/>
      <c r="O29" s="43"/>
      <c r="P29" s="203">
        <v>10000</v>
      </c>
      <c r="Q29" s="43"/>
      <c r="R29" s="43"/>
      <c r="S29" s="43"/>
      <c r="T29" s="44"/>
    </row>
    <row r="30" spans="1:20" s="46" customFormat="1" ht="16.5" customHeight="1" thickBot="1">
      <c r="A30" s="45" t="s">
        <v>44</v>
      </c>
      <c r="B30" s="51" t="s">
        <v>45</v>
      </c>
      <c r="C30" s="164">
        <f t="shared" ref="C30:T30" si="10">SUM(C31:C45)</f>
        <v>90520</v>
      </c>
      <c r="D30" s="164">
        <f t="shared" si="10"/>
        <v>110929</v>
      </c>
      <c r="E30" s="164">
        <f t="shared" si="10"/>
        <v>146485</v>
      </c>
      <c r="F30" s="164">
        <f t="shared" ref="F30" si="11">SUM(F31:F45)</f>
        <v>328699.31</v>
      </c>
      <c r="G30" s="164">
        <f t="shared" ref="G30" si="12">SUM(G31:G45)</f>
        <v>82680</v>
      </c>
      <c r="H30" s="164">
        <f t="shared" si="10"/>
        <v>328699.31</v>
      </c>
      <c r="I30" s="53">
        <f t="shared" si="10"/>
        <v>10859.32</v>
      </c>
      <c r="J30" s="53">
        <f t="shared" si="10"/>
        <v>37858</v>
      </c>
      <c r="K30" s="53">
        <f t="shared" si="10"/>
        <v>18629.760000000002</v>
      </c>
      <c r="L30" s="53">
        <f t="shared" si="10"/>
        <v>19385.939999999999</v>
      </c>
      <c r="M30" s="53">
        <f t="shared" si="10"/>
        <v>14837.009999999998</v>
      </c>
      <c r="N30" s="53">
        <f t="shared" si="10"/>
        <v>101916.4</v>
      </c>
      <c r="O30" s="53">
        <f t="shared" si="10"/>
        <v>29748.48</v>
      </c>
      <c r="P30" s="53">
        <f t="shared" si="10"/>
        <v>7219.03</v>
      </c>
      <c r="Q30" s="53">
        <f t="shared" si="10"/>
        <v>17419.580000000002</v>
      </c>
      <c r="R30" s="53">
        <f t="shared" si="10"/>
        <v>18106.25</v>
      </c>
      <c r="S30" s="53">
        <f t="shared" si="10"/>
        <v>19213.22</v>
      </c>
      <c r="T30" s="53">
        <f t="shared" si="10"/>
        <v>33506.32</v>
      </c>
    </row>
    <row r="31" spans="1:20" s="39" customFormat="1" ht="14">
      <c r="A31" s="55" t="s">
        <v>46</v>
      </c>
      <c r="B31" s="61" t="s">
        <v>197</v>
      </c>
      <c r="C31" s="163">
        <v>17880</v>
      </c>
      <c r="D31" s="166">
        <v>28214</v>
      </c>
      <c r="E31" s="62">
        <f>12000+4000</f>
        <v>16000</v>
      </c>
      <c r="F31" s="36">
        <v>72057.759999999995</v>
      </c>
      <c r="G31" s="62">
        <v>1100</v>
      </c>
      <c r="H31" s="36">
        <f>SUM(I31:T31)</f>
        <v>72057.759999999995</v>
      </c>
      <c r="I31" s="37"/>
      <c r="J31" s="37">
        <v>12000</v>
      </c>
      <c r="K31" s="37">
        <v>1160</v>
      </c>
      <c r="L31" s="37">
        <v>2000</v>
      </c>
      <c r="M31" s="37">
        <v>7212.45</v>
      </c>
      <c r="N31" s="37">
        <v>8780</v>
      </c>
      <c r="O31" s="37">
        <v>4921</v>
      </c>
      <c r="P31" s="37">
        <v>1080.22</v>
      </c>
      <c r="Q31" s="37">
        <v>7550.22</v>
      </c>
      <c r="R31" s="37">
        <v>11243.43</v>
      </c>
      <c r="S31" s="37">
        <v>4980.22</v>
      </c>
      <c r="T31" s="38">
        <v>11130.22</v>
      </c>
    </row>
    <row r="32" spans="1:20" s="39" customFormat="1" ht="14">
      <c r="A32" s="55" t="s">
        <v>47</v>
      </c>
      <c r="B32" s="63" t="s">
        <v>48</v>
      </c>
      <c r="C32" s="165">
        <v>4020</v>
      </c>
      <c r="D32" s="167">
        <v>3690</v>
      </c>
      <c r="E32" s="64">
        <v>4000</v>
      </c>
      <c r="F32" s="36">
        <v>4660</v>
      </c>
      <c r="G32" s="64">
        <v>4600</v>
      </c>
      <c r="H32" s="36">
        <f t="shared" ref="H32:H45" si="13">SUM(I32:T32)</f>
        <v>4660</v>
      </c>
      <c r="I32" s="188">
        <v>1140</v>
      </c>
      <c r="J32" s="188">
        <v>2960</v>
      </c>
      <c r="K32" s="188">
        <v>400</v>
      </c>
      <c r="L32" s="188"/>
      <c r="M32" s="188"/>
      <c r="N32" s="188"/>
      <c r="O32" s="188">
        <v>160</v>
      </c>
      <c r="P32" s="188"/>
      <c r="Q32" s="188"/>
      <c r="R32" s="188"/>
      <c r="S32" s="188"/>
      <c r="T32" s="41"/>
    </row>
    <row r="33" spans="1:20" s="39" customFormat="1" ht="14">
      <c r="A33" s="56" t="s">
        <v>49</v>
      </c>
      <c r="B33" s="65" t="s">
        <v>50</v>
      </c>
      <c r="C33" s="202">
        <v>20153</v>
      </c>
      <c r="D33" s="168">
        <v>22248</v>
      </c>
      <c r="E33" s="66">
        <v>23000</v>
      </c>
      <c r="F33" s="36">
        <v>23545.69</v>
      </c>
      <c r="G33" s="66">
        <v>25000</v>
      </c>
      <c r="H33" s="36">
        <f>SUM(I33:T33)</f>
        <v>23545.69</v>
      </c>
      <c r="I33" s="188">
        <v>1243.8699999999999</v>
      </c>
      <c r="J33" s="188">
        <v>3527</v>
      </c>
      <c r="K33" s="188">
        <v>4510.7700000000004</v>
      </c>
      <c r="L33" s="188">
        <v>7622.94</v>
      </c>
      <c r="M33" s="188">
        <v>2946.559999999999</v>
      </c>
      <c r="N33" s="188">
        <v>1849.4</v>
      </c>
      <c r="O33" s="188">
        <v>731.48</v>
      </c>
      <c r="P33" s="188">
        <v>710.81</v>
      </c>
      <c r="Q33" s="188">
        <v>229.36</v>
      </c>
      <c r="R33" s="188">
        <v>12.4</v>
      </c>
      <c r="S33" s="188">
        <v>33</v>
      </c>
      <c r="T33" s="41">
        <v>128.1</v>
      </c>
    </row>
    <row r="34" spans="1:20" s="39" customFormat="1" ht="14">
      <c r="A34" s="56" t="s">
        <v>51</v>
      </c>
      <c r="B34" s="63" t="s">
        <v>198</v>
      </c>
      <c r="C34" s="165">
        <v>5000</v>
      </c>
      <c r="D34" s="167">
        <v>5000</v>
      </c>
      <c r="E34" s="64">
        <v>5000</v>
      </c>
      <c r="F34" s="36">
        <v>6200</v>
      </c>
      <c r="G34" s="64">
        <v>6000</v>
      </c>
      <c r="H34" s="36">
        <f>SUM(I34:T34)</f>
        <v>6200</v>
      </c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>
        <v>6200</v>
      </c>
      <c r="T34" s="41"/>
    </row>
    <row r="35" spans="1:20" s="39" customFormat="1" ht="14">
      <c r="A35" s="68" t="s">
        <v>53</v>
      </c>
      <c r="B35" s="63" t="s">
        <v>52</v>
      </c>
      <c r="C35" s="204">
        <v>232</v>
      </c>
      <c r="D35" s="169">
        <v>526</v>
      </c>
      <c r="E35" s="67">
        <v>500</v>
      </c>
      <c r="F35" s="36">
        <v>339</v>
      </c>
      <c r="G35" s="67">
        <v>1000</v>
      </c>
      <c r="H35" s="36">
        <f t="shared" si="13"/>
        <v>339</v>
      </c>
      <c r="I35" s="188"/>
      <c r="J35" s="188">
        <v>30</v>
      </c>
      <c r="K35" s="188">
        <v>150</v>
      </c>
      <c r="L35" s="188"/>
      <c r="M35" s="188"/>
      <c r="N35" s="188"/>
      <c r="O35" s="188">
        <v>114</v>
      </c>
      <c r="P35" s="188">
        <v>45</v>
      </c>
      <c r="Q35" s="188"/>
      <c r="R35" s="188"/>
      <c r="S35" s="188"/>
      <c r="T35" s="41"/>
    </row>
    <row r="36" spans="1:20" s="39" customFormat="1" ht="14">
      <c r="A36" s="56" t="s">
        <v>54</v>
      </c>
      <c r="B36" s="63" t="s">
        <v>199</v>
      </c>
      <c r="C36" s="165"/>
      <c r="D36" s="167"/>
      <c r="E36" s="64"/>
      <c r="F36" s="36">
        <v>8421</v>
      </c>
      <c r="G36" s="64"/>
      <c r="H36" s="36">
        <f t="shared" si="13"/>
        <v>8421</v>
      </c>
      <c r="I36" s="188"/>
      <c r="J36" s="188">
        <v>485</v>
      </c>
      <c r="K36" s="188"/>
      <c r="L36" s="188">
        <v>4250</v>
      </c>
      <c r="M36" s="188"/>
      <c r="N36" s="188"/>
      <c r="O36" s="188">
        <v>3686</v>
      </c>
      <c r="P36" s="188"/>
      <c r="Q36" s="188"/>
      <c r="R36" s="188"/>
      <c r="S36" s="188"/>
      <c r="T36" s="41"/>
    </row>
    <row r="37" spans="1:20" s="39" customFormat="1" ht="14">
      <c r="A37" s="56" t="s">
        <v>56</v>
      </c>
      <c r="B37" s="63" t="s">
        <v>200</v>
      </c>
      <c r="C37" s="165">
        <v>14322</v>
      </c>
      <c r="D37" s="167">
        <v>17424</v>
      </c>
      <c r="E37" s="64">
        <v>2530</v>
      </c>
      <c r="F37" s="36">
        <v>47230</v>
      </c>
      <c r="G37" s="64">
        <v>3300</v>
      </c>
      <c r="H37" s="36">
        <f t="shared" si="13"/>
        <v>47230</v>
      </c>
      <c r="I37" s="188"/>
      <c r="J37" s="188">
        <v>2030</v>
      </c>
      <c r="K37" s="188">
        <v>4850</v>
      </c>
      <c r="L37" s="188"/>
      <c r="M37" s="188">
        <v>1745</v>
      </c>
      <c r="N37" s="188">
        <v>5000</v>
      </c>
      <c r="O37" s="188">
        <v>5295</v>
      </c>
      <c r="P37" s="188">
        <v>2455</v>
      </c>
      <c r="Q37" s="188"/>
      <c r="R37" s="188"/>
      <c r="S37" s="188">
        <v>8000</v>
      </c>
      <c r="T37" s="41">
        <v>17855</v>
      </c>
    </row>
    <row r="38" spans="1:20" s="39" customFormat="1" ht="14">
      <c r="A38" s="56" t="s">
        <v>57</v>
      </c>
      <c r="B38" s="63" t="s">
        <v>55</v>
      </c>
      <c r="C38" s="165">
        <v>5000</v>
      </c>
      <c r="D38" s="167">
        <v>4440</v>
      </c>
      <c r="E38" s="64"/>
      <c r="F38" s="36">
        <v>1100</v>
      </c>
      <c r="G38" s="64"/>
      <c r="H38" s="36">
        <f t="shared" si="13"/>
        <v>1100</v>
      </c>
      <c r="I38" s="188"/>
      <c r="J38" s="188"/>
      <c r="K38" s="188"/>
      <c r="L38" s="188"/>
      <c r="M38" s="188">
        <v>1000</v>
      </c>
      <c r="N38" s="188"/>
      <c r="O38" s="188"/>
      <c r="P38" s="188">
        <v>50</v>
      </c>
      <c r="Q38" s="188"/>
      <c r="R38" s="188"/>
      <c r="S38" s="188"/>
      <c r="T38" s="41">
        <v>50</v>
      </c>
    </row>
    <row r="39" spans="1:20" s="39" customFormat="1" ht="14">
      <c r="A39" s="56" t="s">
        <v>58</v>
      </c>
      <c r="B39" s="63" t="s">
        <v>201</v>
      </c>
      <c r="C39" s="165"/>
      <c r="D39" s="167"/>
      <c r="E39" s="64"/>
      <c r="F39" s="36">
        <v>108.99</v>
      </c>
      <c r="G39" s="64"/>
      <c r="H39" s="36">
        <f t="shared" si="13"/>
        <v>108.99</v>
      </c>
      <c r="I39" s="188"/>
      <c r="J39" s="188"/>
      <c r="K39" s="188">
        <v>108.99</v>
      </c>
      <c r="L39" s="188"/>
      <c r="M39" s="188"/>
      <c r="N39" s="188"/>
      <c r="O39" s="188"/>
      <c r="P39" s="188"/>
      <c r="Q39" s="188"/>
      <c r="R39" s="188"/>
      <c r="S39" s="188"/>
      <c r="T39" s="41"/>
    </row>
    <row r="40" spans="1:20" s="54" customFormat="1" ht="14">
      <c r="A40" s="56" t="s">
        <v>59</v>
      </c>
      <c r="B40" s="63" t="s">
        <v>202</v>
      </c>
      <c r="C40" s="165"/>
      <c r="D40" s="167">
        <v>9610</v>
      </c>
      <c r="E40" s="64">
        <f>44500</f>
        <v>44500</v>
      </c>
      <c r="F40" s="36">
        <v>83208</v>
      </c>
      <c r="G40" s="64">
        <v>36500</v>
      </c>
      <c r="H40" s="36">
        <f t="shared" si="13"/>
        <v>83208</v>
      </c>
      <c r="I40" s="188"/>
      <c r="J40" s="188">
        <v>15456</v>
      </c>
      <c r="K40" s="188">
        <v>6400</v>
      </c>
      <c r="L40" s="188">
        <v>4235</v>
      </c>
      <c r="M40" s="188">
        <v>1351</v>
      </c>
      <c r="N40" s="188">
        <v>33938</v>
      </c>
      <c r="O40" s="188">
        <v>8513</v>
      </c>
      <c r="P40" s="188">
        <v>1795</v>
      </c>
      <c r="Q40" s="188">
        <v>8120</v>
      </c>
      <c r="R40" s="188">
        <v>2400</v>
      </c>
      <c r="S40" s="188"/>
      <c r="T40" s="41">
        <v>1000</v>
      </c>
    </row>
    <row r="41" spans="1:20" s="54" customFormat="1" ht="15">
      <c r="A41" s="205" t="s">
        <v>203</v>
      </c>
      <c r="B41" s="63" t="s">
        <v>204</v>
      </c>
      <c r="C41" s="165"/>
      <c r="D41" s="167">
        <v>4153</v>
      </c>
      <c r="E41" s="64"/>
      <c r="F41" s="36">
        <v>27035.42</v>
      </c>
      <c r="G41" s="64">
        <v>5180</v>
      </c>
      <c r="H41" s="36">
        <f t="shared" si="13"/>
        <v>27035.42</v>
      </c>
      <c r="I41" s="188"/>
      <c r="J41" s="188"/>
      <c r="K41" s="188"/>
      <c r="L41" s="188">
        <v>1278</v>
      </c>
      <c r="M41" s="188">
        <v>582</v>
      </c>
      <c r="N41" s="188">
        <v>17279</v>
      </c>
      <c r="O41" s="188">
        <v>436</v>
      </c>
      <c r="P41" s="188">
        <v>1083</v>
      </c>
      <c r="Q41" s="188">
        <v>1491</v>
      </c>
      <c r="R41" s="188">
        <v>3286.42</v>
      </c>
      <c r="S41" s="188"/>
      <c r="T41" s="41">
        <v>1600</v>
      </c>
    </row>
    <row r="42" spans="1:20" s="39" customFormat="1" ht="15">
      <c r="A42" s="205" t="s">
        <v>205</v>
      </c>
      <c r="B42" s="63" t="s">
        <v>206</v>
      </c>
      <c r="C42" s="204">
        <v>22628</v>
      </c>
      <c r="D42" s="169">
        <v>15624</v>
      </c>
      <c r="E42" s="67">
        <v>13880</v>
      </c>
      <c r="F42" s="36">
        <v>7068</v>
      </c>
      <c r="G42" s="67"/>
      <c r="H42" s="36">
        <f t="shared" si="13"/>
        <v>7068</v>
      </c>
      <c r="I42" s="188">
        <v>2400</v>
      </c>
      <c r="J42" s="188">
        <v>1370</v>
      </c>
      <c r="K42" s="188"/>
      <c r="L42" s="188"/>
      <c r="M42" s="188"/>
      <c r="N42" s="188">
        <v>70</v>
      </c>
      <c r="O42" s="188">
        <v>1292</v>
      </c>
      <c r="P42" s="188"/>
      <c r="Q42" s="188">
        <v>29</v>
      </c>
      <c r="R42" s="188">
        <v>1164</v>
      </c>
      <c r="S42" s="188"/>
      <c r="T42" s="41">
        <v>743</v>
      </c>
    </row>
    <row r="43" spans="1:20" s="39" customFormat="1" ht="15">
      <c r="A43" s="205" t="s">
        <v>207</v>
      </c>
      <c r="B43" s="69" t="s">
        <v>208</v>
      </c>
      <c r="C43" s="170">
        <v>1285</v>
      </c>
      <c r="D43" s="171">
        <v>0</v>
      </c>
      <c r="E43" s="71">
        <f>6075+1000+30000</f>
        <v>37075</v>
      </c>
      <c r="F43" s="36">
        <v>47725.45</v>
      </c>
      <c r="G43" s="71"/>
      <c r="H43" s="36">
        <f t="shared" si="13"/>
        <v>47725.45</v>
      </c>
      <c r="I43" s="188">
        <v>6075.45</v>
      </c>
      <c r="J43" s="188"/>
      <c r="K43" s="188">
        <v>1050</v>
      </c>
      <c r="L43" s="188"/>
      <c r="M43" s="188"/>
      <c r="N43" s="188">
        <v>35000</v>
      </c>
      <c r="O43" s="188">
        <v>4600</v>
      </c>
      <c r="P43" s="188"/>
      <c r="Q43" s="188"/>
      <c r="R43" s="188"/>
      <c r="S43" s="188"/>
      <c r="T43" s="41">
        <v>1000</v>
      </c>
    </row>
    <row r="44" spans="1:20" s="39" customFormat="1" ht="14">
      <c r="A44" s="205"/>
      <c r="B44" s="69"/>
      <c r="C44" s="170"/>
      <c r="D44" s="171"/>
      <c r="E44" s="71"/>
      <c r="F44" s="36">
        <v>0</v>
      </c>
      <c r="G44" s="71"/>
      <c r="H44" s="36">
        <f t="shared" si="13"/>
        <v>0</v>
      </c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41"/>
    </row>
    <row r="45" spans="1:20" s="209" customFormat="1" ht="15" thickBot="1">
      <c r="A45" s="205"/>
      <c r="B45" s="206"/>
      <c r="C45" s="207"/>
      <c r="D45" s="207"/>
      <c r="E45" s="208"/>
      <c r="F45" s="36">
        <v>0</v>
      </c>
      <c r="G45" s="208"/>
      <c r="H45" s="36">
        <f t="shared" si="13"/>
        <v>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3"/>
    </row>
    <row r="46" spans="1:20" s="76" customFormat="1" ht="21" customHeight="1" thickBot="1">
      <c r="A46" s="74">
        <v>2</v>
      </c>
      <c r="B46" s="75" t="s">
        <v>150</v>
      </c>
      <c r="C46" s="172">
        <f t="shared" ref="C46:T46" si="14">C47+C52+C58</f>
        <v>258652</v>
      </c>
      <c r="D46" s="172">
        <f t="shared" si="14"/>
        <v>419630.12</v>
      </c>
      <c r="E46" s="22">
        <f t="shared" si="14"/>
        <v>379960</v>
      </c>
      <c r="F46" s="22">
        <f t="shared" si="14"/>
        <v>551349.27</v>
      </c>
      <c r="G46" s="22">
        <f t="shared" si="14"/>
        <v>345239</v>
      </c>
      <c r="H46" s="22">
        <f t="shared" si="14"/>
        <v>551348.90999999992</v>
      </c>
      <c r="I46" s="22">
        <f t="shared" si="14"/>
        <v>11120.48</v>
      </c>
      <c r="J46" s="22">
        <f t="shared" si="14"/>
        <v>25738.75</v>
      </c>
      <c r="K46" s="22">
        <f t="shared" si="14"/>
        <v>29276.26</v>
      </c>
      <c r="L46" s="22">
        <f t="shared" si="14"/>
        <v>26578.14</v>
      </c>
      <c r="M46" s="22">
        <f t="shared" si="14"/>
        <v>34519.11</v>
      </c>
      <c r="N46" s="22">
        <f t="shared" si="14"/>
        <v>100722.77</v>
      </c>
      <c r="O46" s="22">
        <f t="shared" si="14"/>
        <v>71366.33</v>
      </c>
      <c r="P46" s="22">
        <f t="shared" si="14"/>
        <v>65319.03</v>
      </c>
      <c r="Q46" s="22">
        <f t="shared" si="14"/>
        <v>90034.31</v>
      </c>
      <c r="R46" s="22">
        <f t="shared" si="14"/>
        <v>30731.55</v>
      </c>
      <c r="S46" s="22">
        <f t="shared" si="14"/>
        <v>15395.25</v>
      </c>
      <c r="T46" s="22">
        <f t="shared" si="14"/>
        <v>50546.93</v>
      </c>
    </row>
    <row r="47" spans="1:20" s="83" customFormat="1" ht="16.5" customHeight="1" thickBot="1">
      <c r="A47" s="77" t="s">
        <v>60</v>
      </c>
      <c r="B47" s="78" t="s">
        <v>265</v>
      </c>
      <c r="C47" s="173">
        <f t="shared" ref="C47:T47" si="15">SUM(C48:C51)</f>
        <v>14884</v>
      </c>
      <c r="D47" s="173">
        <f t="shared" si="15"/>
        <v>82836</v>
      </c>
      <c r="E47" s="79">
        <f t="shared" si="15"/>
        <v>69387</v>
      </c>
      <c r="F47" s="80">
        <f t="shared" si="15"/>
        <v>117428.01000000001</v>
      </c>
      <c r="G47" s="80">
        <f t="shared" si="15"/>
        <v>72050</v>
      </c>
      <c r="H47" s="80">
        <f t="shared" si="15"/>
        <v>117428.01000000001</v>
      </c>
      <c r="I47" s="81">
        <f t="shared" si="15"/>
        <v>0</v>
      </c>
      <c r="J47" s="81">
        <f t="shared" si="15"/>
        <v>1433</v>
      </c>
      <c r="K47" s="81">
        <f t="shared" si="15"/>
        <v>5154.4399999999996</v>
      </c>
      <c r="L47" s="81">
        <f t="shared" si="15"/>
        <v>3530.03</v>
      </c>
      <c r="M47" s="81">
        <f t="shared" si="15"/>
        <v>11724.92</v>
      </c>
      <c r="N47" s="81">
        <f t="shared" si="15"/>
        <v>29501.620000000003</v>
      </c>
      <c r="O47" s="81">
        <f t="shared" si="15"/>
        <v>15380</v>
      </c>
      <c r="P47" s="81">
        <f t="shared" si="15"/>
        <v>8678</v>
      </c>
      <c r="Q47" s="81">
        <f t="shared" si="15"/>
        <v>6179</v>
      </c>
      <c r="R47" s="81">
        <f t="shared" si="15"/>
        <v>10211</v>
      </c>
      <c r="S47" s="81">
        <f t="shared" si="15"/>
        <v>2577</v>
      </c>
      <c r="T47" s="82">
        <f t="shared" si="15"/>
        <v>23059</v>
      </c>
    </row>
    <row r="48" spans="1:20" s="39" customFormat="1" ht="14">
      <c r="A48" s="55" t="s">
        <v>61</v>
      </c>
      <c r="B48" s="34" t="s">
        <v>62</v>
      </c>
      <c r="C48" s="163">
        <v>3896</v>
      </c>
      <c r="D48" s="163">
        <v>73776</v>
      </c>
      <c r="E48" s="35">
        <v>63137</v>
      </c>
      <c r="F48" s="36">
        <v>64107.64</v>
      </c>
      <c r="G48" s="35">
        <v>30000</v>
      </c>
      <c r="H48" s="36">
        <f>SUM(I48:T48)</f>
        <v>64107.64</v>
      </c>
      <c r="I48" s="37"/>
      <c r="J48" s="210">
        <v>38</v>
      </c>
      <c r="K48" s="210">
        <f>251.94+1345.83</f>
        <v>1597.77</v>
      </c>
      <c r="L48" s="210">
        <v>2098.12</v>
      </c>
      <c r="M48" s="210">
        <f>8745.29+164.84</f>
        <v>8910.130000000001</v>
      </c>
      <c r="N48" s="210">
        <f>8240.62+370</f>
        <v>8610.6200000000008</v>
      </c>
      <c r="O48" s="210">
        <v>12844</v>
      </c>
      <c r="P48" s="210">
        <v>7727</v>
      </c>
      <c r="Q48" s="210">
        <v>5078</v>
      </c>
      <c r="R48" s="210">
        <v>9511</v>
      </c>
      <c r="S48" s="210">
        <v>1000</v>
      </c>
      <c r="T48" s="38">
        <v>6693</v>
      </c>
    </row>
    <row r="49" spans="1:20" s="83" customFormat="1" ht="14">
      <c r="A49" s="55" t="s">
        <v>63</v>
      </c>
      <c r="B49" s="61" t="s">
        <v>67</v>
      </c>
      <c r="C49" s="163">
        <v>10988</v>
      </c>
      <c r="D49" s="163">
        <v>9060</v>
      </c>
      <c r="E49" s="35">
        <v>6250</v>
      </c>
      <c r="F49" s="36">
        <v>30774.33</v>
      </c>
      <c r="G49" s="35">
        <v>13250</v>
      </c>
      <c r="H49" s="36">
        <f>SUM(I49:T49)</f>
        <v>30774.33</v>
      </c>
      <c r="I49" s="37"/>
      <c r="J49" s="210"/>
      <c r="K49" s="210">
        <v>36.299999999999997</v>
      </c>
      <c r="L49" s="210">
        <v>1227.47</v>
      </c>
      <c r="M49" s="210">
        <f>175.11+581.45</f>
        <v>756.56000000000006</v>
      </c>
      <c r="N49" s="210">
        <f>14050+2918+3923</f>
        <v>20891</v>
      </c>
      <c r="O49" s="210">
        <f>2179+357</f>
        <v>2536</v>
      </c>
      <c r="P49" s="210">
        <v>951</v>
      </c>
      <c r="Q49" s="210">
        <v>1101</v>
      </c>
      <c r="R49" s="210">
        <v>700</v>
      </c>
      <c r="S49" s="210">
        <v>1577</v>
      </c>
      <c r="T49" s="38">
        <v>998</v>
      </c>
    </row>
    <row r="50" spans="1:20" s="39" customFormat="1" ht="14">
      <c r="A50" s="55" t="s">
        <v>194</v>
      </c>
      <c r="B50" s="34" t="s">
        <v>209</v>
      </c>
      <c r="C50" s="163"/>
      <c r="D50" s="163"/>
      <c r="E50" s="35"/>
      <c r="F50" s="36">
        <v>22546.04</v>
      </c>
      <c r="G50" s="35"/>
      <c r="H50" s="36">
        <f>SUM(I50:T50)</f>
        <v>22546.04</v>
      </c>
      <c r="I50" s="37"/>
      <c r="J50" s="210">
        <v>1395</v>
      </c>
      <c r="K50" s="210">
        <f>1332.37+2188</f>
        <v>3520.37</v>
      </c>
      <c r="L50" s="210">
        <v>204.44</v>
      </c>
      <c r="M50" s="210">
        <f>1714+344.23</f>
        <v>2058.23</v>
      </c>
      <c r="N50" s="210"/>
      <c r="O50" s="210"/>
      <c r="P50" s="210"/>
      <c r="Q50" s="210"/>
      <c r="R50" s="210"/>
      <c r="S50" s="210"/>
      <c r="T50" s="41">
        <v>15368</v>
      </c>
    </row>
    <row r="51" spans="1:20" s="39" customFormat="1" ht="15" thickBot="1">
      <c r="A51" s="55" t="s">
        <v>195</v>
      </c>
      <c r="B51" s="34" t="s">
        <v>216</v>
      </c>
      <c r="C51" s="163"/>
      <c r="D51" s="163"/>
      <c r="E51" s="35"/>
      <c r="F51" s="36"/>
      <c r="G51" s="35">
        <v>28800</v>
      </c>
      <c r="H51" s="36">
        <f t="shared" ref="H51" si="16">SUM(I51:T51)</f>
        <v>0</v>
      </c>
      <c r="I51" s="37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38"/>
    </row>
    <row r="52" spans="1:20" s="83" customFormat="1" ht="16.5" customHeight="1" thickBot="1">
      <c r="A52" s="77" t="s">
        <v>65</v>
      </c>
      <c r="B52" s="78" t="s">
        <v>266</v>
      </c>
      <c r="C52" s="173">
        <f t="shared" ref="C52:T52" si="17">SUM(C53:C57)</f>
        <v>133618</v>
      </c>
      <c r="D52" s="173">
        <f t="shared" si="17"/>
        <v>239407</v>
      </c>
      <c r="E52" s="79">
        <f t="shared" si="17"/>
        <v>220874</v>
      </c>
      <c r="F52" s="80">
        <f t="shared" si="17"/>
        <v>336057.97</v>
      </c>
      <c r="G52" s="79">
        <f t="shared" si="17"/>
        <v>184759</v>
      </c>
      <c r="H52" s="80">
        <f t="shared" si="17"/>
        <v>336057.97</v>
      </c>
      <c r="I52" s="81">
        <f t="shared" si="17"/>
        <v>4542.96</v>
      </c>
      <c r="J52" s="212">
        <f t="shared" si="17"/>
        <v>10726.26</v>
      </c>
      <c r="K52" s="212">
        <f t="shared" si="17"/>
        <v>15526</v>
      </c>
      <c r="L52" s="212">
        <f t="shared" si="17"/>
        <v>13097.34</v>
      </c>
      <c r="M52" s="212">
        <f t="shared" si="17"/>
        <v>14980.34</v>
      </c>
      <c r="N52" s="212">
        <f t="shared" si="17"/>
        <v>64873.07</v>
      </c>
      <c r="O52" s="212">
        <f t="shared" si="17"/>
        <v>49514</v>
      </c>
      <c r="P52" s="212">
        <f t="shared" si="17"/>
        <v>50718</v>
      </c>
      <c r="Q52" s="212">
        <f t="shared" si="17"/>
        <v>76963</v>
      </c>
      <c r="R52" s="212">
        <f t="shared" si="17"/>
        <v>13312</v>
      </c>
      <c r="S52" s="212">
        <f t="shared" si="17"/>
        <v>5220</v>
      </c>
      <c r="T52" s="82">
        <f t="shared" si="17"/>
        <v>16585</v>
      </c>
    </row>
    <row r="53" spans="1:20" s="39" customFormat="1" ht="14">
      <c r="A53" s="56" t="s">
        <v>66</v>
      </c>
      <c r="B53" s="57" t="s">
        <v>179</v>
      </c>
      <c r="C53" s="165">
        <v>10759</v>
      </c>
      <c r="D53" s="165">
        <v>107490</v>
      </c>
      <c r="E53" s="58">
        <v>80419</v>
      </c>
      <c r="F53" s="36">
        <v>117455.13</v>
      </c>
      <c r="G53" s="58">
        <v>37000</v>
      </c>
      <c r="H53" s="36">
        <f>SUM(I53:T53)</f>
        <v>117455.13</v>
      </c>
      <c r="I53" s="188">
        <v>4230.57</v>
      </c>
      <c r="J53" s="211">
        <v>10627.04</v>
      </c>
      <c r="K53" s="211">
        <v>15526</v>
      </c>
      <c r="L53" s="211">
        <v>8269.18</v>
      </c>
      <c r="M53" s="211">
        <v>10750.34</v>
      </c>
      <c r="N53" s="211">
        <v>3953</v>
      </c>
      <c r="O53" s="211">
        <v>28561</v>
      </c>
      <c r="P53" s="211">
        <v>17571</v>
      </c>
      <c r="Q53" s="211">
        <v>13915</v>
      </c>
      <c r="R53" s="211"/>
      <c r="S53" s="211">
        <v>1052</v>
      </c>
      <c r="T53" s="41">
        <v>3000</v>
      </c>
    </row>
    <row r="54" spans="1:20" s="39" customFormat="1" ht="14">
      <c r="A54" s="56" t="s">
        <v>68</v>
      </c>
      <c r="B54" s="34" t="s">
        <v>210</v>
      </c>
      <c r="C54" s="163"/>
      <c r="D54" s="163"/>
      <c r="E54" s="35"/>
      <c r="F54" s="36">
        <v>3984.98</v>
      </c>
      <c r="G54" s="35"/>
      <c r="H54" s="36">
        <f>SUM(I54:T54)</f>
        <v>3984.98</v>
      </c>
      <c r="I54" s="37"/>
      <c r="J54" s="210"/>
      <c r="K54" s="210"/>
      <c r="L54" s="210">
        <v>3984.98</v>
      </c>
      <c r="M54" s="210"/>
      <c r="N54" s="210"/>
      <c r="O54" s="210"/>
      <c r="P54" s="210"/>
      <c r="Q54" s="210"/>
      <c r="R54" s="210"/>
      <c r="S54" s="210"/>
      <c r="T54" s="38"/>
    </row>
    <row r="55" spans="1:20" s="39" customFormat="1" ht="14">
      <c r="A55" s="68" t="s">
        <v>211</v>
      </c>
      <c r="B55" s="34" t="s">
        <v>217</v>
      </c>
      <c r="C55" s="163"/>
      <c r="D55" s="163"/>
      <c r="E55" s="35"/>
      <c r="F55" s="36"/>
      <c r="G55" s="35">
        <v>44800</v>
      </c>
      <c r="H55" s="36">
        <f t="shared" ref="H55" si="18">SUM(I55:T55)</f>
        <v>0</v>
      </c>
      <c r="I55" s="37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38"/>
    </row>
    <row r="56" spans="1:20" s="83" customFormat="1" ht="14">
      <c r="A56" s="56" t="s">
        <v>69</v>
      </c>
      <c r="B56" s="63" t="s">
        <v>267</v>
      </c>
      <c r="C56" s="165">
        <v>19182</v>
      </c>
      <c r="D56" s="165">
        <v>24114</v>
      </c>
      <c r="E56" s="58">
        <v>100455</v>
      </c>
      <c r="F56" s="36">
        <v>120548.44</v>
      </c>
      <c r="G56" s="58">
        <v>102959</v>
      </c>
      <c r="H56" s="36">
        <f>SUM(I56:T56)</f>
        <v>120548.44</v>
      </c>
      <c r="I56" s="188">
        <v>312.39</v>
      </c>
      <c r="J56" s="211">
        <v>99.22</v>
      </c>
      <c r="K56" s="211"/>
      <c r="L56" s="211">
        <v>843.18</v>
      </c>
      <c r="M56" s="211">
        <v>4230</v>
      </c>
      <c r="N56" s="211">
        <f>51690.65+4237</f>
        <v>55927.65</v>
      </c>
      <c r="O56" s="211">
        <v>15484</v>
      </c>
      <c r="P56" s="211">
        <v>13238</v>
      </c>
      <c r="Q56" s="211">
        <v>12013</v>
      </c>
      <c r="R56" s="211">
        <v>9648</v>
      </c>
      <c r="S56" s="211">
        <v>3168</v>
      </c>
      <c r="T56" s="41">
        <f>4430+1155</f>
        <v>5585</v>
      </c>
    </row>
    <row r="57" spans="1:20" s="83" customFormat="1" ht="15" thickBot="1">
      <c r="A57" s="68" t="s">
        <v>269</v>
      </c>
      <c r="B57" s="69" t="s">
        <v>268</v>
      </c>
      <c r="C57" s="213">
        <v>103677</v>
      </c>
      <c r="D57" s="213">
        <v>107803</v>
      </c>
      <c r="E57" s="113">
        <v>40000</v>
      </c>
      <c r="F57" s="214">
        <v>94069.42</v>
      </c>
      <c r="G57" s="113"/>
      <c r="H57" s="214">
        <f>SUM(I57:T57)</f>
        <v>94069.42</v>
      </c>
      <c r="I57" s="43"/>
      <c r="J57" s="203"/>
      <c r="K57" s="203"/>
      <c r="L57" s="203"/>
      <c r="M57" s="203"/>
      <c r="N57" s="203">
        <f>4797+195.42</f>
        <v>4992.42</v>
      </c>
      <c r="O57" s="203">
        <v>5469</v>
      </c>
      <c r="P57" s="203">
        <v>19909</v>
      </c>
      <c r="Q57" s="203">
        <v>51035</v>
      </c>
      <c r="R57" s="203">
        <f>2925+739</f>
        <v>3664</v>
      </c>
      <c r="S57" s="203">
        <v>1000</v>
      </c>
      <c r="T57" s="44">
        <v>8000</v>
      </c>
    </row>
    <row r="58" spans="1:20" s="39" customFormat="1" ht="16.5" customHeight="1" thickBot="1">
      <c r="A58" s="77" t="s">
        <v>70</v>
      </c>
      <c r="B58" s="78" t="s">
        <v>133</v>
      </c>
      <c r="C58" s="174">
        <f t="shared" ref="C58:T58" si="19">C59+C78+C86+C90</f>
        <v>110150</v>
      </c>
      <c r="D58" s="174">
        <f t="shared" si="19"/>
        <v>97387.12</v>
      </c>
      <c r="E58" s="80">
        <f t="shared" si="19"/>
        <v>89699</v>
      </c>
      <c r="F58" s="80">
        <f t="shared" ref="F58" si="20">F59+F78+F86+F90</f>
        <v>97863.29</v>
      </c>
      <c r="G58" s="80">
        <f>G59+G78+G86+G90</f>
        <v>88430</v>
      </c>
      <c r="H58" s="80">
        <f t="shared" si="19"/>
        <v>97862.93</v>
      </c>
      <c r="I58" s="104">
        <f t="shared" si="19"/>
        <v>6577.52</v>
      </c>
      <c r="J58" s="105">
        <f t="shared" si="19"/>
        <v>13579.490000000002</v>
      </c>
      <c r="K58" s="105">
        <f t="shared" si="19"/>
        <v>8595.82</v>
      </c>
      <c r="L58" s="106">
        <f t="shared" si="19"/>
        <v>9950.7699999999986</v>
      </c>
      <c r="M58" s="105">
        <f t="shared" si="19"/>
        <v>7813.85</v>
      </c>
      <c r="N58" s="106">
        <f t="shared" si="19"/>
        <v>6348.08</v>
      </c>
      <c r="O58" s="105">
        <f t="shared" si="19"/>
        <v>6472.33</v>
      </c>
      <c r="P58" s="106">
        <f t="shared" si="19"/>
        <v>5923.03</v>
      </c>
      <c r="Q58" s="105">
        <f t="shared" si="19"/>
        <v>6892.3099999999995</v>
      </c>
      <c r="R58" s="106">
        <f t="shared" si="19"/>
        <v>7208.55</v>
      </c>
      <c r="S58" s="105">
        <f t="shared" si="19"/>
        <v>7598.25</v>
      </c>
      <c r="T58" s="107">
        <f t="shared" si="19"/>
        <v>10902.929999999998</v>
      </c>
    </row>
    <row r="59" spans="1:20" s="39" customFormat="1" ht="16.5" customHeight="1" thickBot="1">
      <c r="A59" s="77" t="s">
        <v>70</v>
      </c>
      <c r="B59" s="78" t="s">
        <v>71</v>
      </c>
      <c r="C59" s="174">
        <f t="shared" ref="C59:T59" si="21">SUM(C60:C77)</f>
        <v>60146</v>
      </c>
      <c r="D59" s="174">
        <f t="shared" si="21"/>
        <v>43060.92</v>
      </c>
      <c r="E59" s="80">
        <f t="shared" si="21"/>
        <v>35495</v>
      </c>
      <c r="F59" s="80">
        <f t="shared" ref="F59" si="22">SUM(F60:F77)</f>
        <v>37651.089999999997</v>
      </c>
      <c r="G59" s="80">
        <f t="shared" si="21"/>
        <v>26990</v>
      </c>
      <c r="H59" s="80">
        <f t="shared" si="21"/>
        <v>37651.089999999997</v>
      </c>
      <c r="I59" s="104">
        <f t="shared" si="21"/>
        <v>1489.04</v>
      </c>
      <c r="J59" s="105">
        <f t="shared" si="21"/>
        <v>8710.0700000000015</v>
      </c>
      <c r="K59" s="105">
        <f t="shared" si="21"/>
        <v>2944.51</v>
      </c>
      <c r="L59" s="106">
        <f t="shared" si="21"/>
        <v>3158.7799999999997</v>
      </c>
      <c r="M59" s="105">
        <f t="shared" si="21"/>
        <v>2265.04</v>
      </c>
      <c r="N59" s="106">
        <f t="shared" si="21"/>
        <v>1663.22</v>
      </c>
      <c r="O59" s="105">
        <f t="shared" si="21"/>
        <v>1706.6200000000001</v>
      </c>
      <c r="P59" s="106">
        <f t="shared" si="21"/>
        <v>1595.98</v>
      </c>
      <c r="Q59" s="105">
        <f t="shared" si="21"/>
        <v>2307.46</v>
      </c>
      <c r="R59" s="106">
        <f t="shared" si="21"/>
        <v>3120.4300000000003</v>
      </c>
      <c r="S59" s="105">
        <f t="shared" si="21"/>
        <v>2812.13</v>
      </c>
      <c r="T59" s="107">
        <f t="shared" si="21"/>
        <v>5877.8099999999995</v>
      </c>
    </row>
    <row r="60" spans="1:20" s="39" customFormat="1" ht="14">
      <c r="A60" s="55" t="s">
        <v>72</v>
      </c>
      <c r="B60" s="61" t="s">
        <v>155</v>
      </c>
      <c r="C60" s="163">
        <v>6254</v>
      </c>
      <c r="D60" s="175">
        <v>6733.69</v>
      </c>
      <c r="E60" s="35">
        <f>600*12</f>
        <v>7200</v>
      </c>
      <c r="F60" s="36">
        <v>7058.81</v>
      </c>
      <c r="G60" s="35">
        <f>600*12</f>
        <v>7200</v>
      </c>
      <c r="H60" s="36">
        <f>SUM(I60:T60)</f>
        <v>7058.81</v>
      </c>
      <c r="I60" s="37">
        <v>605.9</v>
      </c>
      <c r="J60" s="210">
        <v>398.41</v>
      </c>
      <c r="K60" s="210">
        <v>605.9</v>
      </c>
      <c r="L60" s="210">
        <v>605.9</v>
      </c>
      <c r="M60" s="210">
        <v>536.30999999999995</v>
      </c>
      <c r="N60" s="210">
        <v>499.2</v>
      </c>
      <c r="O60" s="210">
        <v>502.09</v>
      </c>
      <c r="P60" s="210"/>
      <c r="Q60" s="210">
        <v>522</v>
      </c>
      <c r="R60" s="210">
        <v>1044</v>
      </c>
      <c r="S60" s="210">
        <v>572.1</v>
      </c>
      <c r="T60" s="38">
        <v>1167</v>
      </c>
    </row>
    <row r="61" spans="1:20" s="39" customFormat="1" ht="14">
      <c r="A61" s="56" t="s">
        <v>73</v>
      </c>
      <c r="B61" s="63" t="s">
        <v>132</v>
      </c>
      <c r="C61" s="429">
        <v>2298</v>
      </c>
      <c r="D61" s="175">
        <v>833.78000000000009</v>
      </c>
      <c r="E61" s="58">
        <f>85*12</f>
        <v>1020</v>
      </c>
      <c r="F61" s="36">
        <v>2110.4700000000003</v>
      </c>
      <c r="G61" s="58">
        <f>95*12</f>
        <v>1140</v>
      </c>
      <c r="H61" s="36">
        <f t="shared" ref="H61:H77" si="23">SUM(I61:T61)</f>
        <v>2110.4700000000003</v>
      </c>
      <c r="I61" s="188">
        <v>76.989999999999995</v>
      </c>
      <c r="J61" s="211">
        <v>81.92</v>
      </c>
      <c r="K61" s="211">
        <v>93.26</v>
      </c>
      <c r="L61" s="211">
        <v>114.18</v>
      </c>
      <c r="M61" s="211">
        <v>30.65</v>
      </c>
      <c r="N61" s="211">
        <v>45.9</v>
      </c>
      <c r="O61" s="211">
        <v>93.81</v>
      </c>
      <c r="P61" s="211">
        <v>412</v>
      </c>
      <c r="Q61" s="211">
        <v>513.32000000000005</v>
      </c>
      <c r="R61" s="211">
        <v>408.04</v>
      </c>
      <c r="S61" s="211">
        <v>73.83</v>
      </c>
      <c r="T61" s="41">
        <v>166.57</v>
      </c>
    </row>
    <row r="62" spans="1:20" s="39" customFormat="1" ht="14">
      <c r="A62" s="56" t="s">
        <v>74</v>
      </c>
      <c r="B62" s="63" t="s">
        <v>152</v>
      </c>
      <c r="C62" s="430"/>
      <c r="D62" s="175">
        <v>1158.0999999999999</v>
      </c>
      <c r="E62" s="58">
        <v>1000</v>
      </c>
      <c r="F62" s="36">
        <v>1464.39</v>
      </c>
      <c r="G62" s="58">
        <v>1500</v>
      </c>
      <c r="H62" s="36">
        <f t="shared" si="23"/>
        <v>1464.39</v>
      </c>
      <c r="I62" s="188"/>
      <c r="J62" s="211">
        <f>887.49-42</f>
        <v>845.49</v>
      </c>
      <c r="K62" s="211"/>
      <c r="L62" s="211">
        <v>12.1</v>
      </c>
      <c r="M62" s="211"/>
      <c r="N62" s="211"/>
      <c r="O62" s="211"/>
      <c r="P62" s="211"/>
      <c r="Q62" s="211"/>
      <c r="R62" s="211">
        <v>560</v>
      </c>
      <c r="S62" s="211"/>
      <c r="T62" s="41">
        <v>46.8</v>
      </c>
    </row>
    <row r="63" spans="1:20" s="39" customFormat="1" ht="14">
      <c r="A63" s="56" t="s">
        <v>76</v>
      </c>
      <c r="B63" s="63" t="s">
        <v>75</v>
      </c>
      <c r="C63" s="165">
        <v>595</v>
      </c>
      <c r="D63" s="175">
        <v>359.76000000000005</v>
      </c>
      <c r="E63" s="58">
        <v>350</v>
      </c>
      <c r="F63" s="36">
        <v>34.979999999999997</v>
      </c>
      <c r="G63" s="58">
        <v>100</v>
      </c>
      <c r="H63" s="36">
        <f t="shared" si="23"/>
        <v>34.979999999999997</v>
      </c>
      <c r="I63" s="188"/>
      <c r="J63" s="211"/>
      <c r="K63" s="211"/>
      <c r="L63" s="211">
        <v>34.979999999999997</v>
      </c>
      <c r="M63" s="211"/>
      <c r="N63" s="211"/>
      <c r="O63" s="211"/>
      <c r="P63" s="211"/>
      <c r="Q63" s="211"/>
      <c r="R63" s="211"/>
      <c r="S63" s="211"/>
      <c r="T63" s="41"/>
    </row>
    <row r="64" spans="1:20" s="39" customFormat="1" ht="14">
      <c r="A64" s="56" t="s">
        <v>77</v>
      </c>
      <c r="B64" s="63" t="s">
        <v>153</v>
      </c>
      <c r="C64" s="165">
        <v>647</v>
      </c>
      <c r="D64" s="175">
        <v>318.43</v>
      </c>
      <c r="E64" s="58">
        <v>450</v>
      </c>
      <c r="F64" s="36">
        <v>618.13</v>
      </c>
      <c r="G64" s="58">
        <v>700</v>
      </c>
      <c r="H64" s="36">
        <f t="shared" si="23"/>
        <v>618.13</v>
      </c>
      <c r="I64" s="188">
        <v>18.89</v>
      </c>
      <c r="J64" s="211">
        <v>31.61</v>
      </c>
      <c r="K64" s="211">
        <v>22.85</v>
      </c>
      <c r="L64" s="211">
        <f>105.29+32.33</f>
        <v>137.62</v>
      </c>
      <c r="M64" s="211">
        <v>46.85</v>
      </c>
      <c r="N64" s="211">
        <v>102.1</v>
      </c>
      <c r="O64" s="211">
        <v>31.85</v>
      </c>
      <c r="P64" s="211">
        <v>33.65</v>
      </c>
      <c r="Q64" s="211">
        <v>61.16</v>
      </c>
      <c r="R64" s="211">
        <v>17.190000000000001</v>
      </c>
      <c r="S64" s="211">
        <v>25</v>
      </c>
      <c r="T64" s="41">
        <f>51.63+37.73</f>
        <v>89.36</v>
      </c>
    </row>
    <row r="65" spans="1:20" s="39" customFormat="1" ht="14">
      <c r="A65" s="56" t="s">
        <v>78</v>
      </c>
      <c r="B65" s="63" t="s">
        <v>154</v>
      </c>
      <c r="C65" s="165">
        <v>33</v>
      </c>
      <c r="D65" s="175">
        <v>65</v>
      </c>
      <c r="E65" s="58">
        <v>500</v>
      </c>
      <c r="F65" s="36">
        <v>192.86</v>
      </c>
      <c r="G65" s="58">
        <v>200</v>
      </c>
      <c r="H65" s="36">
        <f t="shared" si="23"/>
        <v>192.86</v>
      </c>
      <c r="I65" s="188"/>
      <c r="J65" s="211"/>
      <c r="K65" s="211"/>
      <c r="L65" s="211"/>
      <c r="M65" s="211"/>
      <c r="N65" s="211"/>
      <c r="O65" s="211"/>
      <c r="P65" s="211"/>
      <c r="Q65" s="211">
        <v>119.98</v>
      </c>
      <c r="R65" s="211"/>
      <c r="S65" s="211"/>
      <c r="T65" s="41">
        <v>72.88</v>
      </c>
    </row>
    <row r="66" spans="1:20" s="39" customFormat="1" ht="14">
      <c r="A66" s="56" t="s">
        <v>80</v>
      </c>
      <c r="B66" s="63" t="s">
        <v>79</v>
      </c>
      <c r="C66" s="165">
        <v>1089</v>
      </c>
      <c r="D66" s="175">
        <v>800</v>
      </c>
      <c r="E66" s="58">
        <v>1000</v>
      </c>
      <c r="F66" s="36">
        <v>968</v>
      </c>
      <c r="G66" s="58">
        <v>1000</v>
      </c>
      <c r="H66" s="36">
        <f t="shared" si="23"/>
        <v>968</v>
      </c>
      <c r="I66" s="188"/>
      <c r="J66" s="211"/>
      <c r="K66" s="211"/>
      <c r="L66" s="211">
        <v>968</v>
      </c>
      <c r="M66" s="211"/>
      <c r="N66" s="211"/>
      <c r="O66" s="211"/>
      <c r="P66" s="211"/>
      <c r="Q66" s="211"/>
      <c r="R66" s="211"/>
      <c r="S66" s="211"/>
      <c r="T66" s="41"/>
    </row>
    <row r="67" spans="1:20" s="39" customFormat="1" ht="14">
      <c r="A67" s="56" t="s">
        <v>82</v>
      </c>
      <c r="B67" s="63" t="s">
        <v>81</v>
      </c>
      <c r="C67" s="165">
        <v>6201</v>
      </c>
      <c r="D67" s="175">
        <v>6794.29</v>
      </c>
      <c r="E67" s="58">
        <f>650*12</f>
        <v>7800</v>
      </c>
      <c r="F67" s="36">
        <v>8000.119999999999</v>
      </c>
      <c r="G67" s="58">
        <f>750*12</f>
        <v>9000</v>
      </c>
      <c r="H67" s="36">
        <f t="shared" si="23"/>
        <v>8000.119999999999</v>
      </c>
      <c r="I67" s="188">
        <v>541.48</v>
      </c>
      <c r="J67" s="211">
        <v>558.41999999999996</v>
      </c>
      <c r="K67" s="211">
        <v>583.22</v>
      </c>
      <c r="L67" s="211">
        <v>583</v>
      </c>
      <c r="M67" s="211">
        <v>610.45000000000005</v>
      </c>
      <c r="N67" s="211">
        <v>622.54999999999995</v>
      </c>
      <c r="O67" s="211">
        <v>750.2</v>
      </c>
      <c r="P67" s="211">
        <v>750.2</v>
      </c>
      <c r="Q67" s="211">
        <v>750</v>
      </c>
      <c r="R67" s="211">
        <v>750.2</v>
      </c>
      <c r="S67" s="211">
        <v>750.2</v>
      </c>
      <c r="T67" s="41">
        <v>750.2</v>
      </c>
    </row>
    <row r="68" spans="1:20" s="39" customFormat="1">
      <c r="A68" s="56" t="s">
        <v>84</v>
      </c>
      <c r="B68" s="63" t="s">
        <v>83</v>
      </c>
      <c r="C68" s="165">
        <v>13749</v>
      </c>
      <c r="D68" s="175">
        <v>5023</v>
      </c>
      <c r="E68" s="58"/>
      <c r="F68" s="36">
        <v>0</v>
      </c>
      <c r="G68" s="58"/>
      <c r="H68" s="36">
        <f t="shared" si="23"/>
        <v>0</v>
      </c>
      <c r="I68" s="188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41"/>
    </row>
    <row r="69" spans="1:20" s="39" customFormat="1">
      <c r="A69" s="56" t="s">
        <v>86</v>
      </c>
      <c r="B69" s="63" t="s">
        <v>85</v>
      </c>
      <c r="C69" s="165">
        <v>7834</v>
      </c>
      <c r="D69" s="175">
        <v>4063</v>
      </c>
      <c r="E69" s="58"/>
      <c r="F69" s="36">
        <v>0</v>
      </c>
      <c r="G69" s="58"/>
      <c r="H69" s="36">
        <f t="shared" si="23"/>
        <v>0</v>
      </c>
      <c r="I69" s="188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41"/>
    </row>
    <row r="70" spans="1:20" s="39" customFormat="1">
      <c r="A70" s="56" t="s">
        <v>213</v>
      </c>
      <c r="B70" s="63" t="s">
        <v>87</v>
      </c>
      <c r="C70" s="165">
        <v>6992</v>
      </c>
      <c r="D70" s="175">
        <v>0</v>
      </c>
      <c r="E70" s="58"/>
      <c r="F70" s="36">
        <v>0</v>
      </c>
      <c r="G70" s="58"/>
      <c r="H70" s="36">
        <f t="shared" si="23"/>
        <v>0</v>
      </c>
      <c r="I70" s="188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41"/>
    </row>
    <row r="71" spans="1:20" s="39" customFormat="1" ht="14">
      <c r="A71" s="56" t="s">
        <v>88</v>
      </c>
      <c r="B71" s="63" t="s">
        <v>89</v>
      </c>
      <c r="C71" s="165"/>
      <c r="D71" s="175">
        <v>0</v>
      </c>
      <c r="E71" s="58"/>
      <c r="F71" s="36">
        <v>0</v>
      </c>
      <c r="G71" s="58"/>
      <c r="H71" s="36">
        <f t="shared" si="23"/>
        <v>0</v>
      </c>
      <c r="I71" s="188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41"/>
    </row>
    <row r="72" spans="1:20" s="39" customFormat="1" ht="14">
      <c r="A72" s="56" t="s">
        <v>90</v>
      </c>
      <c r="B72" s="63" t="s">
        <v>92</v>
      </c>
      <c r="C72" s="165">
        <v>617</v>
      </c>
      <c r="D72" s="175">
        <v>0</v>
      </c>
      <c r="E72" s="58">
        <v>200</v>
      </c>
      <c r="F72" s="36">
        <v>0</v>
      </c>
      <c r="G72" s="58"/>
      <c r="H72" s="36">
        <f t="shared" si="23"/>
        <v>0</v>
      </c>
      <c r="I72" s="188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41"/>
    </row>
    <row r="73" spans="1:20" s="39" customFormat="1" ht="14">
      <c r="A73" s="68" t="s">
        <v>91</v>
      </c>
      <c r="B73" s="63" t="s">
        <v>212</v>
      </c>
      <c r="C73" s="165">
        <v>2460</v>
      </c>
      <c r="D73" s="175">
        <v>2181.81</v>
      </c>
      <c r="E73" s="58">
        <v>6075</v>
      </c>
      <c r="F73" s="36">
        <v>7207.66</v>
      </c>
      <c r="G73" s="58"/>
      <c r="H73" s="36">
        <f>SUM(I73:T73)</f>
        <v>7207.66</v>
      </c>
      <c r="I73" s="188">
        <v>199.65</v>
      </c>
      <c r="J73" s="211">
        <f>2255.01+1868</f>
        <v>4123.01</v>
      </c>
      <c r="K73" s="211">
        <v>716</v>
      </c>
      <c r="L73" s="211"/>
      <c r="M73" s="211"/>
      <c r="N73" s="211"/>
      <c r="O73" s="211"/>
      <c r="P73" s="211"/>
      <c r="Q73" s="211"/>
      <c r="R73" s="211"/>
      <c r="S73" s="211">
        <v>951</v>
      </c>
      <c r="T73" s="215">
        <f>666+211+341</f>
        <v>1218</v>
      </c>
    </row>
    <row r="74" spans="1:20" s="39" customFormat="1" ht="14">
      <c r="A74" s="68" t="s">
        <v>93</v>
      </c>
      <c r="B74" s="84" t="s">
        <v>94</v>
      </c>
      <c r="C74" s="165">
        <v>5950</v>
      </c>
      <c r="D74" s="175">
        <v>4313</v>
      </c>
      <c r="E74" s="85">
        <f>4000+4000+700+1200</f>
        <v>9900</v>
      </c>
      <c r="F74" s="36">
        <v>5322</v>
      </c>
      <c r="G74" s="85">
        <f>4000+700+1200</f>
        <v>5900</v>
      </c>
      <c r="H74" s="36">
        <f t="shared" si="23"/>
        <v>5322</v>
      </c>
      <c r="I74" s="216"/>
      <c r="J74" s="211">
        <f>1896+700</f>
        <v>2596</v>
      </c>
      <c r="K74" s="211"/>
      <c r="L74" s="211"/>
      <c r="M74" s="211">
        <v>700</v>
      </c>
      <c r="N74" s="211"/>
      <c r="O74" s="211"/>
      <c r="P74" s="211"/>
      <c r="Q74" s="211"/>
      <c r="R74" s="211"/>
      <c r="S74" s="211"/>
      <c r="T74" s="86">
        <v>2026</v>
      </c>
    </row>
    <row r="75" spans="1:20" s="39" customFormat="1" ht="14">
      <c r="A75" s="68" t="s">
        <v>95</v>
      </c>
      <c r="B75" s="87" t="s">
        <v>96</v>
      </c>
      <c r="C75" s="213">
        <v>5285</v>
      </c>
      <c r="D75" s="175">
        <v>4103.29</v>
      </c>
      <c r="E75" s="88"/>
      <c r="F75" s="36">
        <v>4424.6799999999994</v>
      </c>
      <c r="G75" s="88"/>
      <c r="H75" s="36">
        <f t="shared" si="23"/>
        <v>4424.6799999999994</v>
      </c>
      <c r="I75" s="216">
        <v>39.03</v>
      </c>
      <c r="J75" s="211">
        <v>39.03</v>
      </c>
      <c r="K75" s="211">
        <v>923.28</v>
      </c>
      <c r="L75" s="211">
        <v>703</v>
      </c>
      <c r="M75" s="211">
        <v>333.78</v>
      </c>
      <c r="N75" s="211">
        <v>318.77999999999997</v>
      </c>
      <c r="O75" s="211">
        <v>318.77999999999997</v>
      </c>
      <c r="P75" s="211">
        <v>385</v>
      </c>
      <c r="Q75" s="211">
        <v>341</v>
      </c>
      <c r="R75" s="211">
        <v>341</v>
      </c>
      <c r="S75" s="211">
        <v>341</v>
      </c>
      <c r="T75" s="86">
        <v>341</v>
      </c>
    </row>
    <row r="76" spans="1:20" s="39" customFormat="1" ht="14">
      <c r="A76" s="68" t="s">
        <v>97</v>
      </c>
      <c r="B76" s="89" t="s">
        <v>98</v>
      </c>
      <c r="C76" s="170"/>
      <c r="D76" s="175">
        <v>6125</v>
      </c>
      <c r="E76" s="90"/>
      <c r="F76" s="36">
        <v>0</v>
      </c>
      <c r="G76" s="90"/>
      <c r="H76" s="36">
        <f t="shared" si="23"/>
        <v>0</v>
      </c>
      <c r="I76" s="216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86"/>
    </row>
    <row r="77" spans="1:20" s="39" customFormat="1" ht="15" thickBot="1">
      <c r="A77" s="47" t="s">
        <v>99</v>
      </c>
      <c r="B77" s="91" t="s">
        <v>100</v>
      </c>
      <c r="C77" s="217">
        <v>142</v>
      </c>
      <c r="D77" s="176">
        <v>188.77</v>
      </c>
      <c r="E77" s="92"/>
      <c r="F77" s="42">
        <v>248.99</v>
      </c>
      <c r="G77" s="92">
        <v>250</v>
      </c>
      <c r="H77" s="42">
        <f t="shared" si="23"/>
        <v>248.99</v>
      </c>
      <c r="I77" s="93">
        <v>7.1</v>
      </c>
      <c r="J77" s="203">
        <f>9.08+5.9+21.2</f>
        <v>36.18</v>
      </c>
      <c r="K77" s="203"/>
      <c r="L77" s="203"/>
      <c r="M77" s="203">
        <v>7</v>
      </c>
      <c r="N77" s="203">
        <v>74.69</v>
      </c>
      <c r="O77" s="203">
        <v>9.89</v>
      </c>
      <c r="P77" s="203">
        <v>15.13</v>
      </c>
      <c r="Q77" s="203"/>
      <c r="R77" s="203"/>
      <c r="S77" s="203">
        <v>99</v>
      </c>
      <c r="T77" s="94"/>
    </row>
    <row r="78" spans="1:20" s="83" customFormat="1" ht="16.5" customHeight="1" thickBot="1">
      <c r="A78" s="77" t="s">
        <v>101</v>
      </c>
      <c r="B78" s="78" t="s">
        <v>102</v>
      </c>
      <c r="C78" s="173">
        <f t="shared" ref="C78:T78" si="24">SUM(C79:C85)</f>
        <v>17277</v>
      </c>
      <c r="D78" s="173">
        <f t="shared" si="24"/>
        <v>10903.2</v>
      </c>
      <c r="E78" s="79">
        <f t="shared" si="24"/>
        <v>10408</v>
      </c>
      <c r="F78" s="80">
        <f t="shared" ref="F78" si="25">SUM(F79:F85)</f>
        <v>16424.2</v>
      </c>
      <c r="G78" s="417">
        <f t="shared" ref="G78" si="26">SUM(G79:G85)</f>
        <v>17644</v>
      </c>
      <c r="H78" s="100">
        <f t="shared" si="24"/>
        <v>16424.2</v>
      </c>
      <c r="I78" s="81">
        <f t="shared" si="24"/>
        <v>1439.51</v>
      </c>
      <c r="J78" s="212">
        <f t="shared" si="24"/>
        <v>1220.45</v>
      </c>
      <c r="K78" s="212">
        <f t="shared" si="24"/>
        <v>2002.34</v>
      </c>
      <c r="L78" s="212">
        <f t="shared" si="24"/>
        <v>3143.0199999999995</v>
      </c>
      <c r="M78" s="212">
        <f t="shared" si="24"/>
        <v>1899.84</v>
      </c>
      <c r="N78" s="212">
        <f t="shared" si="24"/>
        <v>1035.8899999999999</v>
      </c>
      <c r="O78" s="212">
        <f t="shared" si="24"/>
        <v>1116.74</v>
      </c>
      <c r="P78" s="212">
        <f t="shared" si="24"/>
        <v>678.07999999999993</v>
      </c>
      <c r="Q78" s="212">
        <f t="shared" si="24"/>
        <v>935.87999999999988</v>
      </c>
      <c r="R78" s="212">
        <f t="shared" si="24"/>
        <v>439.15</v>
      </c>
      <c r="S78" s="212">
        <f t="shared" si="24"/>
        <v>1137.1500000000001</v>
      </c>
      <c r="T78" s="82">
        <f t="shared" si="24"/>
        <v>1376.15</v>
      </c>
    </row>
    <row r="79" spans="1:20" s="39" customFormat="1" ht="14">
      <c r="A79" s="55" t="s">
        <v>103</v>
      </c>
      <c r="B79" s="34" t="s">
        <v>104</v>
      </c>
      <c r="C79" s="218">
        <v>9383</v>
      </c>
      <c r="D79" s="177">
        <v>0</v>
      </c>
      <c r="E79" s="95"/>
      <c r="F79" s="36">
        <v>0</v>
      </c>
      <c r="G79" s="114">
        <v>4000</v>
      </c>
      <c r="H79" s="416">
        <f>SUM(I79:T79)</f>
        <v>0</v>
      </c>
      <c r="I79" s="37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38"/>
    </row>
    <row r="80" spans="1:20" s="39" customFormat="1" ht="14">
      <c r="A80" s="56" t="s">
        <v>105</v>
      </c>
      <c r="B80" s="34" t="s">
        <v>106</v>
      </c>
      <c r="C80" s="218">
        <v>1408</v>
      </c>
      <c r="D80" s="178">
        <v>2356.69</v>
      </c>
      <c r="E80" s="95">
        <v>2500</v>
      </c>
      <c r="F80" s="36">
        <v>2046.6</v>
      </c>
      <c r="G80" s="114">
        <v>2500</v>
      </c>
      <c r="H80" s="416">
        <f t="shared" ref="H80:H85" si="27">SUM(I80:T80)</f>
        <v>2046.6</v>
      </c>
      <c r="I80" s="188"/>
      <c r="J80" s="211"/>
      <c r="K80" s="211">
        <v>181.28</v>
      </c>
      <c r="L80" s="211">
        <f>1641.56+223.76</f>
        <v>1865.32</v>
      </c>
      <c r="M80" s="211"/>
      <c r="N80" s="211"/>
      <c r="O80" s="211"/>
      <c r="P80" s="211"/>
      <c r="Q80" s="211"/>
      <c r="R80" s="211"/>
      <c r="S80" s="211"/>
      <c r="T80" s="41"/>
    </row>
    <row r="81" spans="1:20" s="39" customFormat="1" ht="14">
      <c r="A81" s="56" t="s">
        <v>107</v>
      </c>
      <c r="B81" s="57" t="s">
        <v>108</v>
      </c>
      <c r="C81" s="219">
        <v>315</v>
      </c>
      <c r="D81" s="178">
        <v>1392.29</v>
      </c>
      <c r="E81" s="96">
        <v>1400</v>
      </c>
      <c r="F81" s="36">
        <v>4152.4799999999996</v>
      </c>
      <c r="G81" s="137">
        <f>350*12</f>
        <v>4200</v>
      </c>
      <c r="H81" s="416">
        <f t="shared" si="27"/>
        <v>4152.4799999999996</v>
      </c>
      <c r="I81" s="188">
        <v>225.21</v>
      </c>
      <c r="J81" s="211">
        <v>356.15</v>
      </c>
      <c r="K81" s="211">
        <v>221.76</v>
      </c>
      <c r="L81" s="211">
        <v>413.4</v>
      </c>
      <c r="M81" s="211">
        <v>401.21</v>
      </c>
      <c r="N81" s="211">
        <v>564.30999999999995</v>
      </c>
      <c r="O81" s="211">
        <v>252.44</v>
      </c>
      <c r="P81" s="211">
        <v>394</v>
      </c>
      <c r="Q81" s="211">
        <v>488</v>
      </c>
      <c r="R81" s="211">
        <v>152</v>
      </c>
      <c r="S81" s="211">
        <v>294</v>
      </c>
      <c r="T81" s="41">
        <v>390</v>
      </c>
    </row>
    <row r="82" spans="1:20" s="54" customFormat="1" ht="14" collapsed="1">
      <c r="A82" s="56" t="s">
        <v>109</v>
      </c>
      <c r="B82" s="57" t="s">
        <v>110</v>
      </c>
      <c r="C82" s="219"/>
      <c r="D82" s="178">
        <v>1202.1099999999999</v>
      </c>
      <c r="E82" s="96">
        <v>1500</v>
      </c>
      <c r="F82" s="36">
        <v>1525.22</v>
      </c>
      <c r="G82" s="137">
        <v>1500</v>
      </c>
      <c r="H82" s="416">
        <f t="shared" si="27"/>
        <v>1525.22</v>
      </c>
      <c r="I82" s="188">
        <v>930.22</v>
      </c>
      <c r="J82" s="211"/>
      <c r="K82" s="211">
        <v>595</v>
      </c>
      <c r="L82" s="211"/>
      <c r="M82" s="211"/>
      <c r="N82" s="211"/>
      <c r="O82" s="211"/>
      <c r="P82" s="211"/>
      <c r="Q82" s="211"/>
      <c r="R82" s="211"/>
      <c r="S82" s="211"/>
      <c r="T82" s="41"/>
    </row>
    <row r="83" spans="1:20" s="54" customFormat="1" ht="14">
      <c r="A83" s="56" t="s">
        <v>111</v>
      </c>
      <c r="B83" s="57" t="s">
        <v>214</v>
      </c>
      <c r="C83" s="219"/>
      <c r="D83" s="178"/>
      <c r="E83" s="103"/>
      <c r="F83" s="36">
        <v>3600.1000000000004</v>
      </c>
      <c r="G83" s="418"/>
      <c r="H83" s="416">
        <f t="shared" si="27"/>
        <v>3600.1000000000004</v>
      </c>
      <c r="I83" s="188"/>
      <c r="J83" s="211">
        <v>580.22</v>
      </c>
      <c r="K83" s="211">
        <v>580.22</v>
      </c>
      <c r="L83" s="211">
        <v>580.22</v>
      </c>
      <c r="M83" s="211">
        <v>580.22</v>
      </c>
      <c r="N83" s="211"/>
      <c r="O83" s="211">
        <v>580.22</v>
      </c>
      <c r="P83" s="211"/>
      <c r="Q83" s="211"/>
      <c r="R83" s="211"/>
      <c r="S83" s="211"/>
      <c r="T83" s="41">
        <v>699</v>
      </c>
    </row>
    <row r="84" spans="1:20" s="54" customFormat="1" ht="14" collapsed="1">
      <c r="A84" s="56" t="s">
        <v>113</v>
      </c>
      <c r="B84" s="57" t="s">
        <v>112</v>
      </c>
      <c r="C84" s="219">
        <v>3931</v>
      </c>
      <c r="D84" s="178">
        <v>4321.57</v>
      </c>
      <c r="E84" s="188">
        <f>284*12</f>
        <v>3408</v>
      </c>
      <c r="F84" s="36">
        <v>3418.17</v>
      </c>
      <c r="G84" s="138">
        <f>287*12</f>
        <v>3444</v>
      </c>
      <c r="H84" s="416">
        <f>SUM(I84:T84)</f>
        <v>3418.17</v>
      </c>
      <c r="I84" s="188">
        <v>284.08</v>
      </c>
      <c r="J84" s="211">
        <v>284.08</v>
      </c>
      <c r="K84" s="211">
        <v>284.08</v>
      </c>
      <c r="L84" s="211">
        <v>284.08</v>
      </c>
      <c r="M84" s="211">
        <v>284.08</v>
      </c>
      <c r="N84" s="211">
        <v>284.08</v>
      </c>
      <c r="O84" s="211">
        <v>284.08</v>
      </c>
      <c r="P84" s="211">
        <v>284.08</v>
      </c>
      <c r="Q84" s="211">
        <v>284.08</v>
      </c>
      <c r="R84" s="211">
        <v>287.14999999999998</v>
      </c>
      <c r="S84" s="211">
        <v>287.14999999999998</v>
      </c>
      <c r="T84" s="41">
        <v>287.14999999999998</v>
      </c>
    </row>
    <row r="85" spans="1:20" s="39" customFormat="1" ht="15" thickBot="1">
      <c r="A85" s="59" t="s">
        <v>215</v>
      </c>
      <c r="B85" s="60" t="s">
        <v>114</v>
      </c>
      <c r="C85" s="220">
        <v>2240</v>
      </c>
      <c r="D85" s="179">
        <v>1630.54</v>
      </c>
      <c r="E85" s="97">
        <v>1600</v>
      </c>
      <c r="F85" s="42">
        <v>1681.6299999999999</v>
      </c>
      <c r="G85" s="419">
        <v>2000</v>
      </c>
      <c r="H85" s="103">
        <f t="shared" si="27"/>
        <v>1681.6299999999999</v>
      </c>
      <c r="I85" s="43"/>
      <c r="J85" s="203"/>
      <c r="K85" s="203">
        <v>140</v>
      </c>
      <c r="L85" s="203"/>
      <c r="M85" s="203">
        <f>155.68+478.65</f>
        <v>634.32999999999993</v>
      </c>
      <c r="N85" s="203">
        <f>136+51.5</f>
        <v>187.5</v>
      </c>
      <c r="O85" s="203"/>
      <c r="P85" s="203"/>
      <c r="Q85" s="203">
        <v>163.80000000000001</v>
      </c>
      <c r="R85" s="203"/>
      <c r="S85" s="203">
        <v>556</v>
      </c>
      <c r="T85" s="44"/>
    </row>
    <row r="86" spans="1:20" s="83" customFormat="1" ht="16.5" customHeight="1" thickBot="1">
      <c r="A86" s="77" t="s">
        <v>115</v>
      </c>
      <c r="B86" s="78" t="s">
        <v>116</v>
      </c>
      <c r="C86" s="173">
        <f t="shared" ref="C86:T86" si="28">SUM(C87)</f>
        <v>27050</v>
      </c>
      <c r="D86" s="173">
        <f t="shared" si="28"/>
        <v>21811</v>
      </c>
      <c r="E86" s="79">
        <f t="shared" si="28"/>
        <v>0</v>
      </c>
      <c r="F86" s="80">
        <f>SUM(F87)</f>
        <v>0</v>
      </c>
      <c r="G86" s="417">
        <f t="shared" si="28"/>
        <v>0</v>
      </c>
      <c r="H86" s="100">
        <f>SUM(H87)</f>
        <v>0</v>
      </c>
      <c r="I86" s="81">
        <f t="shared" si="28"/>
        <v>0</v>
      </c>
      <c r="J86" s="212">
        <f t="shared" si="28"/>
        <v>0</v>
      </c>
      <c r="K86" s="212">
        <f t="shared" si="28"/>
        <v>0</v>
      </c>
      <c r="L86" s="212">
        <f t="shared" si="28"/>
        <v>0</v>
      </c>
      <c r="M86" s="212">
        <f t="shared" si="28"/>
        <v>0</v>
      </c>
      <c r="N86" s="212">
        <f t="shared" si="28"/>
        <v>0</v>
      </c>
      <c r="O86" s="212">
        <f t="shared" si="28"/>
        <v>0</v>
      </c>
      <c r="P86" s="81">
        <f t="shared" si="28"/>
        <v>0</v>
      </c>
      <c r="Q86" s="81">
        <f t="shared" si="28"/>
        <v>0</v>
      </c>
      <c r="R86" s="212">
        <f t="shared" si="28"/>
        <v>0</v>
      </c>
      <c r="S86" s="212">
        <f t="shared" si="28"/>
        <v>0</v>
      </c>
      <c r="T86" s="82">
        <f t="shared" si="28"/>
        <v>0</v>
      </c>
    </row>
    <row r="87" spans="1:20" s="39" customFormat="1" ht="15" thickBot="1">
      <c r="A87" s="55" t="s">
        <v>117</v>
      </c>
      <c r="B87" s="34" t="s">
        <v>118</v>
      </c>
      <c r="C87" s="431">
        <v>27050</v>
      </c>
      <c r="D87" s="431">
        <v>21811</v>
      </c>
      <c r="E87" s="434"/>
      <c r="F87" s="437"/>
      <c r="G87" s="434"/>
      <c r="H87" s="437">
        <f>SUM(I87:T89)</f>
        <v>0</v>
      </c>
      <c r="I87" s="439"/>
      <c r="J87" s="420"/>
      <c r="K87" s="420"/>
      <c r="L87" s="420"/>
      <c r="M87" s="420"/>
      <c r="N87" s="420"/>
      <c r="O87" s="420"/>
      <c r="P87" s="439"/>
      <c r="Q87" s="439"/>
      <c r="R87" s="420"/>
      <c r="S87" s="420"/>
      <c r="T87" s="423"/>
    </row>
    <row r="88" spans="1:20" s="39" customFormat="1" ht="15" thickBot="1">
      <c r="A88" s="56" t="s">
        <v>119</v>
      </c>
      <c r="B88" s="57" t="s">
        <v>120</v>
      </c>
      <c r="C88" s="432"/>
      <c r="D88" s="432"/>
      <c r="E88" s="435"/>
      <c r="F88" s="438"/>
      <c r="G88" s="435"/>
      <c r="H88" s="438">
        <f t="shared" ref="H88:H89" si="29">SUM(I88:T88)</f>
        <v>0</v>
      </c>
      <c r="I88" s="440"/>
      <c r="J88" s="421"/>
      <c r="K88" s="421"/>
      <c r="L88" s="421"/>
      <c r="M88" s="421"/>
      <c r="N88" s="421"/>
      <c r="O88" s="421"/>
      <c r="P88" s="440"/>
      <c r="Q88" s="440"/>
      <c r="R88" s="421"/>
      <c r="S88" s="421"/>
      <c r="T88" s="424"/>
    </row>
    <row r="89" spans="1:20" s="39" customFormat="1" ht="15" thickBot="1">
      <c r="A89" s="59" t="s">
        <v>121</v>
      </c>
      <c r="B89" s="60" t="s">
        <v>122</v>
      </c>
      <c r="C89" s="433"/>
      <c r="D89" s="433"/>
      <c r="E89" s="436"/>
      <c r="F89" s="438"/>
      <c r="G89" s="436"/>
      <c r="H89" s="438">
        <f t="shared" si="29"/>
        <v>0</v>
      </c>
      <c r="I89" s="441"/>
      <c r="J89" s="422"/>
      <c r="K89" s="422"/>
      <c r="L89" s="422"/>
      <c r="M89" s="422"/>
      <c r="N89" s="422"/>
      <c r="O89" s="422"/>
      <c r="P89" s="441"/>
      <c r="Q89" s="441"/>
      <c r="R89" s="422"/>
      <c r="S89" s="422"/>
      <c r="T89" s="425"/>
    </row>
    <row r="90" spans="1:20" s="83" customFormat="1" ht="16.5" customHeight="1" thickBot="1">
      <c r="A90" s="77" t="s">
        <v>123</v>
      </c>
      <c r="B90" s="98" t="s">
        <v>124</v>
      </c>
      <c r="C90" s="180">
        <f t="shared" ref="C90:T90" si="30">SUM(C91:C93)</f>
        <v>5677</v>
      </c>
      <c r="D90" s="180">
        <f t="shared" si="30"/>
        <v>21612</v>
      </c>
      <c r="E90" s="99">
        <f t="shared" si="30"/>
        <v>43796</v>
      </c>
      <c r="F90" s="100">
        <f t="shared" ref="F90" si="31">SUM(F91:F93)</f>
        <v>43788</v>
      </c>
      <c r="G90" s="99">
        <f t="shared" ref="G90" si="32">SUM(G91:G93)</f>
        <v>43796</v>
      </c>
      <c r="H90" s="100">
        <f t="shared" si="30"/>
        <v>43787.640000000007</v>
      </c>
      <c r="I90" s="81">
        <f t="shared" si="30"/>
        <v>3648.97</v>
      </c>
      <c r="J90" s="212">
        <f t="shared" si="30"/>
        <v>3648.97</v>
      </c>
      <c r="K90" s="212">
        <f t="shared" si="30"/>
        <v>3648.97</v>
      </c>
      <c r="L90" s="212">
        <f t="shared" si="30"/>
        <v>3648.97</v>
      </c>
      <c r="M90" s="212">
        <f t="shared" si="30"/>
        <v>3648.97</v>
      </c>
      <c r="N90" s="212">
        <f t="shared" si="30"/>
        <v>3648.97</v>
      </c>
      <c r="O90" s="212">
        <f t="shared" si="30"/>
        <v>3648.97</v>
      </c>
      <c r="P90" s="81">
        <f t="shared" si="30"/>
        <v>3648.97</v>
      </c>
      <c r="Q90" s="81">
        <f t="shared" si="30"/>
        <v>3648.97</v>
      </c>
      <c r="R90" s="212">
        <f t="shared" si="30"/>
        <v>3648.97</v>
      </c>
      <c r="S90" s="212">
        <f t="shared" si="30"/>
        <v>3648.97</v>
      </c>
      <c r="T90" s="82">
        <f t="shared" si="30"/>
        <v>3648.97</v>
      </c>
    </row>
    <row r="91" spans="1:20" s="39" customFormat="1" ht="15" thickBot="1">
      <c r="A91" s="55" t="s">
        <v>125</v>
      </c>
      <c r="B91" s="34" t="s">
        <v>126</v>
      </c>
      <c r="C91" s="431">
        <v>5677</v>
      </c>
      <c r="D91" s="431">
        <v>21612</v>
      </c>
      <c r="E91" s="434">
        <v>43796</v>
      </c>
      <c r="F91" s="437">
        <v>43788</v>
      </c>
      <c r="G91" s="434">
        <v>43796</v>
      </c>
      <c r="H91" s="437">
        <f>SUM(I91:T93)</f>
        <v>43787.640000000007</v>
      </c>
      <c r="I91" s="439">
        <v>3648.97</v>
      </c>
      <c r="J91" s="420">
        <v>3648.97</v>
      </c>
      <c r="K91" s="420">
        <v>3648.97</v>
      </c>
      <c r="L91" s="420">
        <v>3648.97</v>
      </c>
      <c r="M91" s="420">
        <v>3648.97</v>
      </c>
      <c r="N91" s="420">
        <v>3648.97</v>
      </c>
      <c r="O91" s="420">
        <v>3648.97</v>
      </c>
      <c r="P91" s="439">
        <v>3648.97</v>
      </c>
      <c r="Q91" s="439">
        <v>3648.97</v>
      </c>
      <c r="R91" s="420">
        <v>3648.97</v>
      </c>
      <c r="S91" s="420">
        <v>3648.97</v>
      </c>
      <c r="T91" s="439">
        <v>3648.97</v>
      </c>
    </row>
    <row r="92" spans="1:20" s="39" customFormat="1" ht="15" thickBot="1">
      <c r="A92" s="56" t="s">
        <v>127</v>
      </c>
      <c r="B92" s="57" t="s">
        <v>120</v>
      </c>
      <c r="C92" s="432"/>
      <c r="D92" s="432"/>
      <c r="E92" s="435"/>
      <c r="F92" s="438">
        <f t="shared" ref="F92:H93" si="33">SUM(G92:R92)</f>
        <v>0</v>
      </c>
      <c r="G92" s="435"/>
      <c r="H92" s="438">
        <f t="shared" si="33"/>
        <v>0</v>
      </c>
      <c r="I92" s="440"/>
      <c r="J92" s="421"/>
      <c r="K92" s="421"/>
      <c r="L92" s="421"/>
      <c r="M92" s="421"/>
      <c r="N92" s="421"/>
      <c r="O92" s="421"/>
      <c r="P92" s="440"/>
      <c r="Q92" s="440"/>
      <c r="R92" s="421"/>
      <c r="S92" s="421"/>
      <c r="T92" s="440"/>
    </row>
    <row r="93" spans="1:20" s="39" customFormat="1" ht="15" thickBot="1">
      <c r="A93" s="59" t="s">
        <v>128</v>
      </c>
      <c r="B93" s="60" t="s">
        <v>122</v>
      </c>
      <c r="C93" s="433"/>
      <c r="D93" s="433"/>
      <c r="E93" s="436"/>
      <c r="F93" s="442">
        <f t="shared" si="33"/>
        <v>0</v>
      </c>
      <c r="G93" s="436"/>
      <c r="H93" s="442">
        <f t="shared" si="33"/>
        <v>0</v>
      </c>
      <c r="I93" s="441"/>
      <c r="J93" s="422"/>
      <c r="K93" s="422"/>
      <c r="L93" s="422"/>
      <c r="M93" s="422"/>
      <c r="N93" s="422"/>
      <c r="O93" s="422"/>
      <c r="P93" s="441"/>
      <c r="Q93" s="441"/>
      <c r="R93" s="422"/>
      <c r="S93" s="422"/>
      <c r="T93" s="441"/>
    </row>
    <row r="94" spans="1:20" s="101" customFormat="1" ht="15" thickBot="1">
      <c r="A94" s="121"/>
      <c r="B94" s="122" t="s">
        <v>129</v>
      </c>
      <c r="C94" s="181"/>
      <c r="D94" s="181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4"/>
    </row>
    <row r="95" spans="1:20" s="39" customFormat="1" ht="19" customHeight="1" thickBot="1">
      <c r="A95" s="116"/>
      <c r="B95" s="117" t="s">
        <v>130</v>
      </c>
      <c r="C95" s="182"/>
      <c r="D95" s="182"/>
      <c r="E95" s="118">
        <f>E4+E5-E46</f>
        <v>-19932</v>
      </c>
      <c r="F95" s="605">
        <f>F4+F5-F46</f>
        <v>65762.280000000028</v>
      </c>
      <c r="G95" s="118">
        <f>G4+G5-G46</f>
        <v>-29242</v>
      </c>
      <c r="H95" s="119">
        <f>(H4+H5)-H46</f>
        <v>56839.64000000013</v>
      </c>
      <c r="I95" s="119">
        <f t="shared" ref="I95:T95" si="34">I4+I5-I46</f>
        <v>-261.15999999999985</v>
      </c>
      <c r="J95" s="119">
        <f t="shared" si="34"/>
        <v>12119.25</v>
      </c>
      <c r="K95" s="119">
        <f t="shared" si="34"/>
        <v>-5263.9499999999971</v>
      </c>
      <c r="L95" s="119">
        <f t="shared" si="34"/>
        <v>63098.780000000013</v>
      </c>
      <c r="M95" s="119">
        <f t="shared" si="34"/>
        <v>-19682.100000000002</v>
      </c>
      <c r="N95" s="119">
        <f t="shared" si="34"/>
        <v>5255.6299999999901</v>
      </c>
      <c r="O95" s="119">
        <f t="shared" si="34"/>
        <v>43576.599999999991</v>
      </c>
      <c r="P95" s="119">
        <f t="shared" si="34"/>
        <v>-3352.739999999998</v>
      </c>
      <c r="Q95" s="119">
        <f t="shared" si="34"/>
        <v>-50779.729999999996</v>
      </c>
      <c r="R95" s="119">
        <f t="shared" si="34"/>
        <v>-8285.2999999999993</v>
      </c>
      <c r="S95" s="119">
        <f t="shared" si="34"/>
        <v>8510.9700000000012</v>
      </c>
      <c r="T95" s="120">
        <f t="shared" si="34"/>
        <v>11903.39</v>
      </c>
    </row>
    <row r="96" spans="1:20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9:20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9:20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9:20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9:20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9:20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9:20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9:20"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9:20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9:20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9:20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9:20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9:20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9:20"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9:20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9:20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9:20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9:20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9:20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9:20"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</sheetData>
  <mergeCells count="40">
    <mergeCell ref="N87:N89"/>
    <mergeCell ref="J87:J89"/>
    <mergeCell ref="T91:T93"/>
    <mergeCell ref="G87:G89"/>
    <mergeCell ref="G91:G93"/>
    <mergeCell ref="L91:L93"/>
    <mergeCell ref="M91:M93"/>
    <mergeCell ref="N91:N93"/>
    <mergeCell ref="O91:O93"/>
    <mergeCell ref="P91:P93"/>
    <mergeCell ref="Q91:Q93"/>
    <mergeCell ref="R91:R93"/>
    <mergeCell ref="S91:S93"/>
    <mergeCell ref="J91:J93"/>
    <mergeCell ref="K87:K89"/>
    <mergeCell ref="L87:L89"/>
    <mergeCell ref="M87:M89"/>
    <mergeCell ref="K91:K93"/>
    <mergeCell ref="C91:C93"/>
    <mergeCell ref="D91:D93"/>
    <mergeCell ref="E91:E93"/>
    <mergeCell ref="H91:H93"/>
    <mergeCell ref="I91:I93"/>
    <mergeCell ref="F91:F93"/>
    <mergeCell ref="S87:S89"/>
    <mergeCell ref="T87:T89"/>
    <mergeCell ref="A1:B1"/>
    <mergeCell ref="A2:B2"/>
    <mergeCell ref="A3:B3"/>
    <mergeCell ref="C61:C62"/>
    <mergeCell ref="C87:C89"/>
    <mergeCell ref="D87:D89"/>
    <mergeCell ref="E87:E89"/>
    <mergeCell ref="H87:H89"/>
    <mergeCell ref="F87:F89"/>
    <mergeCell ref="O87:O89"/>
    <mergeCell ref="P87:P89"/>
    <mergeCell ref="Q87:Q89"/>
    <mergeCell ref="R87:R89"/>
    <mergeCell ref="I87:I89"/>
  </mergeCells>
  <pageMargins left="0.7" right="0.7" top="0.75" bottom="0.75" header="0.3" footer="0.3"/>
  <pageSetup paperSize="9" scale="3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A386-E5FD-B245-B2CC-DBDE2EACA3D1}">
  <dimension ref="A1:L20"/>
  <sheetViews>
    <sheetView workbookViewId="0">
      <selection activeCell="B1" sqref="B1:C1"/>
    </sheetView>
  </sheetViews>
  <sheetFormatPr baseColWidth="10" defaultRowHeight="14"/>
  <cols>
    <col min="1" max="1" width="39.33203125" style="139" customWidth="1"/>
    <col min="2" max="2" width="11" style="139" customWidth="1"/>
    <col min="3" max="3" width="9.1640625" style="139" customWidth="1"/>
    <col min="4" max="4" width="11" style="139" customWidth="1"/>
    <col min="5" max="5" width="9.1640625" style="139" customWidth="1"/>
    <col min="6" max="16384" width="10.83203125" style="139"/>
  </cols>
  <sheetData>
    <row r="1" spans="1:12" ht="15" thickBot="1">
      <c r="A1" s="143"/>
      <c r="B1" s="443" t="s">
        <v>193</v>
      </c>
      <c r="C1" s="444"/>
      <c r="D1" s="443" t="s">
        <v>192</v>
      </c>
      <c r="E1" s="444"/>
      <c r="F1" s="443" t="s">
        <v>157</v>
      </c>
      <c r="G1" s="444"/>
      <c r="J1" s="139">
        <v>2023</v>
      </c>
    </row>
    <row r="2" spans="1:12" ht="27" customHeight="1">
      <c r="A2" s="141" t="s">
        <v>158</v>
      </c>
      <c r="B2" s="144">
        <v>53970</v>
      </c>
      <c r="C2" s="145"/>
      <c r="D2" s="144">
        <v>53970</v>
      </c>
      <c r="E2" s="145"/>
      <c r="F2" s="144">
        <f>SUM(F3:F5)</f>
        <v>55508</v>
      </c>
      <c r="G2" s="145"/>
      <c r="J2" s="144">
        <f>D2/4</f>
        <v>13492.5</v>
      </c>
      <c r="K2" s="145"/>
      <c r="L2" s="155"/>
    </row>
    <row r="3" spans="1:12">
      <c r="A3" s="146" t="s">
        <v>165</v>
      </c>
      <c r="B3" s="147">
        <f>B2*C3</f>
        <v>10794</v>
      </c>
      <c r="C3" s="148">
        <v>0.2</v>
      </c>
      <c r="D3" s="147">
        <f>D2*E3</f>
        <v>10794</v>
      </c>
      <c r="E3" s="148">
        <v>0.2</v>
      </c>
      <c r="F3" s="147">
        <v>32442</v>
      </c>
      <c r="G3" s="149">
        <f>F2-F3</f>
        <v>23066</v>
      </c>
      <c r="J3" s="147">
        <f>J2*K3</f>
        <v>2698.5</v>
      </c>
      <c r="K3" s="148">
        <v>0.2</v>
      </c>
    </row>
    <row r="4" spans="1:12">
      <c r="A4" s="146" t="s">
        <v>160</v>
      </c>
      <c r="B4" s="147">
        <f>B2*C4</f>
        <v>21588</v>
      </c>
      <c r="C4" s="148">
        <v>0.4</v>
      </c>
      <c r="D4" s="147">
        <f>D2*E4</f>
        <v>21588</v>
      </c>
      <c r="E4" s="148">
        <v>0.4</v>
      </c>
      <c r="F4" s="147">
        <v>8986</v>
      </c>
      <c r="G4" s="148">
        <f>F4/G3</f>
        <v>0.38957773346050462</v>
      </c>
      <c r="J4" s="147">
        <f>J2*K4</f>
        <v>5397</v>
      </c>
      <c r="K4" s="148">
        <v>0.4</v>
      </c>
    </row>
    <row r="5" spans="1:12">
      <c r="A5" s="146" t="s">
        <v>164</v>
      </c>
      <c r="B5" s="147">
        <f>B2*C5</f>
        <v>21588</v>
      </c>
      <c r="C5" s="148">
        <v>0.4</v>
      </c>
      <c r="D5" s="147">
        <f>D2*E5</f>
        <v>21588</v>
      </c>
      <c r="E5" s="148">
        <v>0.4</v>
      </c>
      <c r="F5" s="147">
        <v>14080</v>
      </c>
      <c r="G5" s="148">
        <f>F5/G3</f>
        <v>0.61042226653949538</v>
      </c>
      <c r="J5" s="147">
        <f>J2*K5</f>
        <v>5397</v>
      </c>
      <c r="K5" s="148">
        <v>0.4</v>
      </c>
    </row>
    <row r="6" spans="1:12">
      <c r="A6" s="150"/>
      <c r="B6" s="151"/>
      <c r="C6" s="152"/>
      <c r="D6" s="151"/>
      <c r="E6" s="152"/>
      <c r="F6" s="151"/>
      <c r="G6" s="152"/>
    </row>
    <row r="7" spans="1:12" ht="26" customHeight="1">
      <c r="A7" s="142" t="s">
        <v>166</v>
      </c>
      <c r="B7" s="147">
        <v>12000</v>
      </c>
      <c r="C7" s="153"/>
      <c r="D7" s="147">
        <v>12000</v>
      </c>
      <c r="E7" s="153"/>
      <c r="F7" s="147">
        <f>SUM(F8:F12)</f>
        <v>18000</v>
      </c>
      <c r="G7" s="153"/>
      <c r="J7" s="155"/>
    </row>
    <row r="8" spans="1:12">
      <c r="A8" s="146" t="s">
        <v>159</v>
      </c>
      <c r="B8" s="147">
        <f>B7*C8</f>
        <v>12000</v>
      </c>
      <c r="C8" s="148">
        <v>1</v>
      </c>
      <c r="D8" s="147">
        <f>D7*E8</f>
        <v>12000</v>
      </c>
      <c r="E8" s="148">
        <v>1</v>
      </c>
      <c r="F8" s="147">
        <v>506</v>
      </c>
      <c r="G8" s="148">
        <f>F8/F7</f>
        <v>2.8111111111111111E-2</v>
      </c>
    </row>
    <row r="9" spans="1:12">
      <c r="A9" s="146" t="s">
        <v>161</v>
      </c>
      <c r="B9" s="147"/>
      <c r="C9" s="148"/>
      <c r="D9" s="147"/>
      <c r="E9" s="148"/>
      <c r="F9" s="147">
        <v>4306</v>
      </c>
      <c r="G9" s="148">
        <f>F9/F7</f>
        <v>0.23922222222222222</v>
      </c>
    </row>
    <row r="10" spans="1:12">
      <c r="A10" s="146" t="s">
        <v>164</v>
      </c>
      <c r="B10" s="147"/>
      <c r="C10" s="148"/>
      <c r="D10" s="147"/>
      <c r="E10" s="148"/>
      <c r="F10" s="147">
        <v>7218</v>
      </c>
      <c r="G10" s="148">
        <f>F10/F7</f>
        <v>0.40100000000000002</v>
      </c>
    </row>
    <row r="11" spans="1:12">
      <c r="A11" s="146" t="s">
        <v>162</v>
      </c>
      <c r="B11" s="147"/>
      <c r="C11" s="148"/>
      <c r="D11" s="147"/>
      <c r="E11" s="148"/>
      <c r="F11" s="147">
        <v>5970</v>
      </c>
      <c r="G11" s="148">
        <f>F11/F7</f>
        <v>0.33166666666666667</v>
      </c>
    </row>
    <row r="12" spans="1:12">
      <c r="A12" s="146" t="s">
        <v>64</v>
      </c>
      <c r="B12" s="147"/>
      <c r="C12" s="148"/>
      <c r="D12" s="147"/>
      <c r="E12" s="148"/>
      <c r="F12" s="147"/>
      <c r="G12" s="148"/>
    </row>
    <row r="13" spans="1:12">
      <c r="A13" s="150"/>
      <c r="B13" s="154"/>
      <c r="C13" s="152"/>
      <c r="D13" s="154"/>
      <c r="E13" s="152"/>
      <c r="F13" s="154"/>
      <c r="G13" s="152"/>
    </row>
    <row r="14" spans="1:12" ht="24" customHeight="1">
      <c r="A14" s="142" t="s">
        <v>167</v>
      </c>
      <c r="B14" s="147"/>
      <c r="C14" s="153"/>
      <c r="D14" s="147">
        <v>15873</v>
      </c>
      <c r="E14" s="153"/>
      <c r="F14" s="147">
        <f>SUM(F15:F17)</f>
        <v>20144</v>
      </c>
      <c r="G14" s="153"/>
    </row>
    <row r="15" spans="1:12">
      <c r="A15" s="146" t="s">
        <v>165</v>
      </c>
      <c r="B15" s="147"/>
      <c r="C15" s="148"/>
      <c r="D15" s="147">
        <f>D14*E15</f>
        <v>3174.6000000000004</v>
      </c>
      <c r="E15" s="148">
        <v>0.2</v>
      </c>
      <c r="F15" s="147"/>
      <c r="G15" s="148">
        <f>F15/F14</f>
        <v>0</v>
      </c>
    </row>
    <row r="16" spans="1:12">
      <c r="A16" s="146" t="s">
        <v>163</v>
      </c>
      <c r="B16" s="147"/>
      <c r="C16" s="148"/>
      <c r="D16" s="147">
        <f>D14*E16</f>
        <v>6349.2000000000007</v>
      </c>
      <c r="E16" s="148">
        <v>0.4</v>
      </c>
      <c r="F16" s="147">
        <v>9796</v>
      </c>
      <c r="G16" s="148">
        <f>F16/F14</f>
        <v>0.4862986497220016</v>
      </c>
    </row>
    <row r="17" spans="1:7" ht="15" thickBot="1">
      <c r="A17" s="156" t="s">
        <v>164</v>
      </c>
      <c r="B17" s="157"/>
      <c r="C17" s="158"/>
      <c r="D17" s="157">
        <f>D14*E17</f>
        <v>6349.2000000000007</v>
      </c>
      <c r="E17" s="158">
        <v>0.4</v>
      </c>
      <c r="F17" s="157">
        <v>10348</v>
      </c>
      <c r="G17" s="158">
        <f>F17/F14</f>
        <v>0.51370135027799846</v>
      </c>
    </row>
    <row r="19" spans="1:7">
      <c r="B19" s="155">
        <f>B2+B7+B14</f>
        <v>65970</v>
      </c>
      <c r="D19" s="155">
        <f>D2+D7+D14</f>
        <v>81843</v>
      </c>
      <c r="F19" s="155">
        <f>F2+F7+F14</f>
        <v>93652</v>
      </c>
    </row>
    <row r="20" spans="1:7">
      <c r="B20" s="155"/>
      <c r="D20" s="155"/>
    </row>
  </sheetData>
  <mergeCells count="3">
    <mergeCell ref="F1:G1"/>
    <mergeCell ref="D1:E1"/>
    <mergeCell ref="B1:C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1AAB-2165-C940-8DA5-8D88E56C3AB1}">
  <dimension ref="A1:P21"/>
  <sheetViews>
    <sheetView workbookViewId="0"/>
  </sheetViews>
  <sheetFormatPr baseColWidth="10" defaultColWidth="11.5" defaultRowHeight="16"/>
  <cols>
    <col min="2" max="2" width="13.33203125" customWidth="1"/>
    <col min="3" max="4" width="12" style="109" customWidth="1"/>
    <col min="5" max="11" width="11.5" style="109"/>
  </cols>
  <sheetData>
    <row r="1" spans="1:6" ht="30" thickBot="1">
      <c r="A1" s="134">
        <v>2021</v>
      </c>
      <c r="B1" s="135" t="s">
        <v>50</v>
      </c>
      <c r="C1" s="136" t="s">
        <v>175</v>
      </c>
      <c r="D1" s="134">
        <v>2022</v>
      </c>
      <c r="E1" s="135" t="s">
        <v>50</v>
      </c>
      <c r="F1" s="136" t="s">
        <v>175</v>
      </c>
    </row>
    <row r="2" spans="1:6">
      <c r="A2" s="132" t="s">
        <v>3</v>
      </c>
      <c r="B2" s="37">
        <v>648.77</v>
      </c>
      <c r="C2" s="133"/>
      <c r="D2" s="132" t="s">
        <v>3</v>
      </c>
      <c r="E2" s="188">
        <v>1243.8699999999999</v>
      </c>
      <c r="F2" s="133">
        <v>1140</v>
      </c>
    </row>
    <row r="3" spans="1:6">
      <c r="A3" s="127" t="s">
        <v>4</v>
      </c>
      <c r="B3" s="188">
        <v>392.6</v>
      </c>
      <c r="C3" s="41">
        <v>160</v>
      </c>
      <c r="D3" s="127" t="s">
        <v>4</v>
      </c>
      <c r="E3" s="188">
        <v>3527</v>
      </c>
      <c r="F3" s="41">
        <v>2960</v>
      </c>
    </row>
    <row r="4" spans="1:6">
      <c r="A4" s="127" t="s">
        <v>5</v>
      </c>
      <c r="B4" s="188">
        <v>1095</v>
      </c>
      <c r="C4" s="41">
        <v>810</v>
      </c>
      <c r="D4" s="127" t="s">
        <v>5</v>
      </c>
      <c r="E4" s="188">
        <v>4510.7700000000004</v>
      </c>
      <c r="F4" s="41">
        <v>400</v>
      </c>
    </row>
    <row r="5" spans="1:6">
      <c r="A5" s="127" t="s">
        <v>6</v>
      </c>
      <c r="B5" s="188">
        <v>1413</v>
      </c>
      <c r="C5" s="41">
        <v>720</v>
      </c>
      <c r="D5" s="127" t="s">
        <v>6</v>
      </c>
      <c r="E5" s="188">
        <v>7622.94</v>
      </c>
      <c r="F5" s="41"/>
    </row>
    <row r="6" spans="1:6">
      <c r="A6" s="127" t="s">
        <v>176</v>
      </c>
      <c r="B6" s="188">
        <v>3360</v>
      </c>
      <c r="C6" s="41">
        <v>1440</v>
      </c>
      <c r="D6" s="127" t="s">
        <v>176</v>
      </c>
      <c r="E6" s="188">
        <v>2946.559999999999</v>
      </c>
      <c r="F6" s="41"/>
    </row>
    <row r="7" spans="1:6">
      <c r="A7" s="127" t="s">
        <v>8</v>
      </c>
      <c r="B7" s="188">
        <v>9612</v>
      </c>
      <c r="C7" s="41">
        <v>240</v>
      </c>
      <c r="D7" s="127" t="s">
        <v>8</v>
      </c>
      <c r="E7" s="188">
        <v>1849.4</v>
      </c>
      <c r="F7" s="41"/>
    </row>
    <row r="8" spans="1:6">
      <c r="A8" s="127" t="s">
        <v>9</v>
      </c>
      <c r="B8" s="188">
        <v>3802</v>
      </c>
      <c r="C8" s="41">
        <v>80</v>
      </c>
      <c r="D8" s="127" t="s">
        <v>9</v>
      </c>
      <c r="E8" s="188">
        <v>731.48</v>
      </c>
      <c r="F8" s="41">
        <v>160</v>
      </c>
    </row>
    <row r="9" spans="1:6">
      <c r="A9" s="127" t="s">
        <v>10</v>
      </c>
      <c r="B9" s="188">
        <v>1491</v>
      </c>
      <c r="C9" s="41"/>
      <c r="D9" s="127" t="s">
        <v>10</v>
      </c>
      <c r="E9" s="188">
        <v>710.81</v>
      </c>
      <c r="F9" s="41"/>
    </row>
    <row r="10" spans="1:6">
      <c r="A10" s="127" t="s">
        <v>11</v>
      </c>
      <c r="B10" s="188">
        <v>235</v>
      </c>
      <c r="C10" s="41">
        <v>80</v>
      </c>
      <c r="D10" s="127" t="s">
        <v>11</v>
      </c>
      <c r="E10" s="188">
        <v>229.36</v>
      </c>
      <c r="F10" s="41"/>
    </row>
    <row r="11" spans="1:6">
      <c r="A11" s="127" t="s">
        <v>177</v>
      </c>
      <c r="B11" s="188">
        <v>66.12</v>
      </c>
      <c r="C11" s="41">
        <v>80</v>
      </c>
      <c r="D11" s="127" t="s">
        <v>177</v>
      </c>
      <c r="E11" s="188">
        <v>12.4</v>
      </c>
      <c r="F11" s="41"/>
    </row>
    <row r="12" spans="1:6">
      <c r="A12" s="127" t="s">
        <v>13</v>
      </c>
      <c r="B12" s="225">
        <v>5000</v>
      </c>
      <c r="C12" s="128"/>
      <c r="D12" s="127" t="s">
        <v>13</v>
      </c>
      <c r="E12" s="188">
        <v>6233</v>
      </c>
      <c r="F12" s="128"/>
    </row>
    <row r="13" spans="1:6">
      <c r="A13" s="127" t="s">
        <v>14</v>
      </c>
      <c r="B13" s="125">
        <v>132.24</v>
      </c>
      <c r="C13" s="128">
        <v>80</v>
      </c>
      <c r="D13" s="127" t="s">
        <v>14</v>
      </c>
      <c r="E13" s="188">
        <v>128.1</v>
      </c>
      <c r="F13" s="226"/>
    </row>
    <row r="14" spans="1:6" ht="17" thickBot="1">
      <c r="A14" s="129" t="s">
        <v>139</v>
      </c>
      <c r="B14" s="130">
        <f>SUM(B2:B13)</f>
        <v>27247.73</v>
      </c>
      <c r="C14" s="131">
        <f>SUM(C2:C13)</f>
        <v>3690</v>
      </c>
      <c r="D14" s="129" t="s">
        <v>139</v>
      </c>
      <c r="E14" s="130">
        <f>SUM(E2:E13)</f>
        <v>29745.69</v>
      </c>
      <c r="F14" s="131">
        <f>SUM(F2:F13)</f>
        <v>4660</v>
      </c>
    </row>
    <row r="17" spans="1:16">
      <c r="A17" s="126" t="s">
        <v>156</v>
      </c>
      <c r="C17" s="108"/>
    </row>
    <row r="18" spans="1:16" ht="34">
      <c r="C18" s="110" t="s">
        <v>134</v>
      </c>
      <c r="D18" s="110" t="s">
        <v>135</v>
      </c>
      <c r="E18" s="110" t="s">
        <v>136</v>
      </c>
      <c r="F18" s="110" t="s">
        <v>137</v>
      </c>
      <c r="G18" s="110" t="s">
        <v>138</v>
      </c>
      <c r="H18" s="110" t="s">
        <v>139</v>
      </c>
      <c r="I18" s="110" t="s">
        <v>140</v>
      </c>
      <c r="J18" s="110" t="s">
        <v>141</v>
      </c>
      <c r="K18" s="110" t="s">
        <v>142</v>
      </c>
      <c r="L18" s="110" t="s">
        <v>142</v>
      </c>
      <c r="M18" s="183" t="s">
        <v>180</v>
      </c>
      <c r="O18" s="184">
        <v>0.105</v>
      </c>
      <c r="P18" s="184">
        <v>0.2359</v>
      </c>
    </row>
    <row r="19" spans="1:16">
      <c r="A19" t="s">
        <v>143</v>
      </c>
      <c r="B19" t="s">
        <v>144</v>
      </c>
      <c r="C19" s="109">
        <v>213.61</v>
      </c>
      <c r="D19" s="109">
        <f>76.53*2</f>
        <v>153.06</v>
      </c>
      <c r="E19" s="109">
        <f>171.94*2</f>
        <v>343.88</v>
      </c>
      <c r="F19" s="109">
        <f>0.36*2</f>
        <v>0.72</v>
      </c>
      <c r="H19" s="111">
        <f>SUM(C19:G19)</f>
        <v>711.27</v>
      </c>
      <c r="I19" s="109">
        <v>1091.06</v>
      </c>
      <c r="J19" s="109">
        <f>C19+D19+I19</f>
        <v>1457.73</v>
      </c>
      <c r="K19" s="109">
        <f>J19+E19+F19</f>
        <v>1802.3300000000002</v>
      </c>
      <c r="L19" s="112">
        <f>K19*12</f>
        <v>21627.960000000003</v>
      </c>
      <c r="M19">
        <v>236.63</v>
      </c>
      <c r="O19" s="185">
        <f>$J19*O$13</f>
        <v>0</v>
      </c>
      <c r="P19" s="185">
        <f>$J19*P$13</f>
        <v>0</v>
      </c>
    </row>
    <row r="20" spans="1:16">
      <c r="A20" t="s">
        <v>143</v>
      </c>
      <c r="B20" t="s">
        <v>145</v>
      </c>
      <c r="C20" s="109">
        <v>237.93</v>
      </c>
      <c r="D20" s="109">
        <v>156.88999999999999</v>
      </c>
      <c r="E20" s="109">
        <v>352.47</v>
      </c>
      <c r="F20" s="109">
        <f>0.36*2</f>
        <v>0.72</v>
      </c>
      <c r="H20" s="111">
        <f>SUM(C20:G20)</f>
        <v>748.01</v>
      </c>
      <c r="I20" s="109">
        <v>1099.3499999999999</v>
      </c>
      <c r="J20" s="109">
        <v>1494.17</v>
      </c>
      <c r="K20" s="109">
        <f>J20+E20+F20</f>
        <v>1847.3600000000001</v>
      </c>
      <c r="L20" s="112">
        <f>K20*12</f>
        <v>22168.32</v>
      </c>
      <c r="M20">
        <v>147.63999999999999</v>
      </c>
      <c r="O20" s="185">
        <f>$J20*O$13</f>
        <v>0</v>
      </c>
      <c r="P20" s="185">
        <f>$J20*P$13</f>
        <v>0</v>
      </c>
    </row>
    <row r="21" spans="1:16">
      <c r="C21" s="111">
        <f t="shared" ref="C21:H21" si="0">SUM(C20:C20)</f>
        <v>237.93</v>
      </c>
      <c r="D21" s="111">
        <f t="shared" si="0"/>
        <v>156.88999999999999</v>
      </c>
      <c r="E21" s="111">
        <f t="shared" si="0"/>
        <v>352.47</v>
      </c>
      <c r="F21" s="111">
        <f t="shared" si="0"/>
        <v>0.72</v>
      </c>
      <c r="G21" s="111">
        <f t="shared" si="0"/>
        <v>0</v>
      </c>
      <c r="H21" s="111">
        <f t="shared" si="0"/>
        <v>748.01</v>
      </c>
      <c r="I21" s="111">
        <f>SUM(I19:I20)</f>
        <v>2190.41</v>
      </c>
      <c r="J21" s="111">
        <f>SUM(J19:J20)</f>
        <v>2951.9</v>
      </c>
      <c r="K21" s="111">
        <f>SUM(K19:K20)</f>
        <v>3649.6900000000005</v>
      </c>
      <c r="L21" s="111">
        <f>SUM(L19:L20)</f>
        <v>43796.28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703B-F807-CA41-B330-959E721784CA}">
  <dimension ref="A1:AS6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G1" sqref="G1"/>
    </sheetView>
  </sheetViews>
  <sheetFormatPr baseColWidth="10" defaultColWidth="9.1640625" defaultRowHeight="14" outlineLevelRow="1"/>
  <cols>
    <col min="1" max="1" width="16" style="139" customWidth="1"/>
    <col min="2" max="2" width="13.6640625" style="140" customWidth="1"/>
    <col min="3" max="3" width="3.33203125" style="140" customWidth="1"/>
    <col min="4" max="4" width="6.6640625" style="140" customWidth="1"/>
    <col min="5" max="5" width="9" style="140" customWidth="1"/>
    <col min="6" max="7" width="9.6640625" style="140" customWidth="1"/>
    <col min="8" max="9" width="9.1640625" style="140"/>
    <col min="10" max="11" width="10.1640625" style="140" customWidth="1"/>
    <col min="12" max="12" width="10.6640625" style="140" bestFit="1" customWidth="1"/>
    <col min="13" max="17" width="10.33203125" style="140" customWidth="1"/>
    <col min="18" max="21" width="10.1640625" style="140" customWidth="1"/>
    <col min="22" max="22" width="11.33203125" style="140" customWidth="1"/>
    <col min="23" max="23" width="10" style="140" customWidth="1"/>
    <col min="24" max="24" width="9.1640625" style="140"/>
    <col min="25" max="258" width="9.1640625" style="139"/>
    <col min="259" max="259" width="41.1640625" style="139" customWidth="1"/>
    <col min="260" max="261" width="9.6640625" style="139" customWidth="1"/>
    <col min="262" max="263" width="10.5" style="139" customWidth="1"/>
    <col min="264" max="265" width="9.6640625" style="139" customWidth="1"/>
    <col min="266" max="266" width="9.1640625" style="139"/>
    <col min="267" max="267" width="10.33203125" style="139" customWidth="1"/>
    <col min="268" max="269" width="9.1640625" style="139"/>
    <col min="270" max="273" width="10.33203125" style="139" customWidth="1"/>
    <col min="274" max="277" width="10.1640625" style="139" customWidth="1"/>
    <col min="278" max="278" width="11.33203125" style="139" customWidth="1"/>
    <col min="279" max="279" width="10" style="139" customWidth="1"/>
    <col min="280" max="514" width="9.1640625" style="139"/>
    <col min="515" max="515" width="41.1640625" style="139" customWidth="1"/>
    <col min="516" max="517" width="9.6640625" style="139" customWidth="1"/>
    <col min="518" max="519" width="10.5" style="139" customWidth="1"/>
    <col min="520" max="521" width="9.6640625" style="139" customWidth="1"/>
    <col min="522" max="522" width="9.1640625" style="139"/>
    <col min="523" max="523" width="10.33203125" style="139" customWidth="1"/>
    <col min="524" max="525" width="9.1640625" style="139"/>
    <col min="526" max="529" width="10.33203125" style="139" customWidth="1"/>
    <col min="530" max="533" width="10.1640625" style="139" customWidth="1"/>
    <col min="534" max="534" width="11.33203125" style="139" customWidth="1"/>
    <col min="535" max="535" width="10" style="139" customWidth="1"/>
    <col min="536" max="770" width="9.1640625" style="139"/>
    <col min="771" max="771" width="41.1640625" style="139" customWidth="1"/>
    <col min="772" max="773" width="9.6640625" style="139" customWidth="1"/>
    <col min="774" max="775" width="10.5" style="139" customWidth="1"/>
    <col min="776" max="777" width="9.6640625" style="139" customWidth="1"/>
    <col min="778" max="778" width="9.1640625" style="139"/>
    <col min="779" max="779" width="10.33203125" style="139" customWidth="1"/>
    <col min="780" max="781" width="9.1640625" style="139"/>
    <col min="782" max="785" width="10.33203125" style="139" customWidth="1"/>
    <col min="786" max="789" width="10.1640625" style="139" customWidth="1"/>
    <col min="790" max="790" width="11.33203125" style="139" customWidth="1"/>
    <col min="791" max="791" width="10" style="139" customWidth="1"/>
    <col min="792" max="1026" width="9.1640625" style="139"/>
    <col min="1027" max="1027" width="41.1640625" style="139" customWidth="1"/>
    <col min="1028" max="1029" width="9.6640625" style="139" customWidth="1"/>
    <col min="1030" max="1031" width="10.5" style="139" customWidth="1"/>
    <col min="1032" max="1033" width="9.6640625" style="139" customWidth="1"/>
    <col min="1034" max="1034" width="9.1640625" style="139"/>
    <col min="1035" max="1035" width="10.33203125" style="139" customWidth="1"/>
    <col min="1036" max="1037" width="9.1640625" style="139"/>
    <col min="1038" max="1041" width="10.33203125" style="139" customWidth="1"/>
    <col min="1042" max="1045" width="10.1640625" style="139" customWidth="1"/>
    <col min="1046" max="1046" width="11.33203125" style="139" customWidth="1"/>
    <col min="1047" max="1047" width="10" style="139" customWidth="1"/>
    <col min="1048" max="1282" width="9.1640625" style="139"/>
    <col min="1283" max="1283" width="41.1640625" style="139" customWidth="1"/>
    <col min="1284" max="1285" width="9.6640625" style="139" customWidth="1"/>
    <col min="1286" max="1287" width="10.5" style="139" customWidth="1"/>
    <col min="1288" max="1289" width="9.6640625" style="139" customWidth="1"/>
    <col min="1290" max="1290" width="9.1640625" style="139"/>
    <col min="1291" max="1291" width="10.33203125" style="139" customWidth="1"/>
    <col min="1292" max="1293" width="9.1640625" style="139"/>
    <col min="1294" max="1297" width="10.33203125" style="139" customWidth="1"/>
    <col min="1298" max="1301" width="10.1640625" style="139" customWidth="1"/>
    <col min="1302" max="1302" width="11.33203125" style="139" customWidth="1"/>
    <col min="1303" max="1303" width="10" style="139" customWidth="1"/>
    <col min="1304" max="1538" width="9.1640625" style="139"/>
    <col min="1539" max="1539" width="41.1640625" style="139" customWidth="1"/>
    <col min="1540" max="1541" width="9.6640625" style="139" customWidth="1"/>
    <col min="1542" max="1543" width="10.5" style="139" customWidth="1"/>
    <col min="1544" max="1545" width="9.6640625" style="139" customWidth="1"/>
    <col min="1546" max="1546" width="9.1640625" style="139"/>
    <col min="1547" max="1547" width="10.33203125" style="139" customWidth="1"/>
    <col min="1548" max="1549" width="9.1640625" style="139"/>
    <col min="1550" max="1553" width="10.33203125" style="139" customWidth="1"/>
    <col min="1554" max="1557" width="10.1640625" style="139" customWidth="1"/>
    <col min="1558" max="1558" width="11.33203125" style="139" customWidth="1"/>
    <col min="1559" max="1559" width="10" style="139" customWidth="1"/>
    <col min="1560" max="1794" width="9.1640625" style="139"/>
    <col min="1795" max="1795" width="41.1640625" style="139" customWidth="1"/>
    <col min="1796" max="1797" width="9.6640625" style="139" customWidth="1"/>
    <col min="1798" max="1799" width="10.5" style="139" customWidth="1"/>
    <col min="1800" max="1801" width="9.6640625" style="139" customWidth="1"/>
    <col min="1802" max="1802" width="9.1640625" style="139"/>
    <col min="1803" max="1803" width="10.33203125" style="139" customWidth="1"/>
    <col min="1804" max="1805" width="9.1640625" style="139"/>
    <col min="1806" max="1809" width="10.33203125" style="139" customWidth="1"/>
    <col min="1810" max="1813" width="10.1640625" style="139" customWidth="1"/>
    <col min="1814" max="1814" width="11.33203125" style="139" customWidth="1"/>
    <col min="1815" max="1815" width="10" style="139" customWidth="1"/>
    <col min="1816" max="2050" width="9.1640625" style="139"/>
    <col min="2051" max="2051" width="41.1640625" style="139" customWidth="1"/>
    <col min="2052" max="2053" width="9.6640625" style="139" customWidth="1"/>
    <col min="2054" max="2055" width="10.5" style="139" customWidth="1"/>
    <col min="2056" max="2057" width="9.6640625" style="139" customWidth="1"/>
    <col min="2058" max="2058" width="9.1640625" style="139"/>
    <col min="2059" max="2059" width="10.33203125" style="139" customWidth="1"/>
    <col min="2060" max="2061" width="9.1640625" style="139"/>
    <col min="2062" max="2065" width="10.33203125" style="139" customWidth="1"/>
    <col min="2066" max="2069" width="10.1640625" style="139" customWidth="1"/>
    <col min="2070" max="2070" width="11.33203125" style="139" customWidth="1"/>
    <col min="2071" max="2071" width="10" style="139" customWidth="1"/>
    <col min="2072" max="2306" width="9.1640625" style="139"/>
    <col min="2307" max="2307" width="41.1640625" style="139" customWidth="1"/>
    <col min="2308" max="2309" width="9.6640625" style="139" customWidth="1"/>
    <col min="2310" max="2311" width="10.5" style="139" customWidth="1"/>
    <col min="2312" max="2313" width="9.6640625" style="139" customWidth="1"/>
    <col min="2314" max="2314" width="9.1640625" style="139"/>
    <col min="2315" max="2315" width="10.33203125" style="139" customWidth="1"/>
    <col min="2316" max="2317" width="9.1640625" style="139"/>
    <col min="2318" max="2321" width="10.33203125" style="139" customWidth="1"/>
    <col min="2322" max="2325" width="10.1640625" style="139" customWidth="1"/>
    <col min="2326" max="2326" width="11.33203125" style="139" customWidth="1"/>
    <col min="2327" max="2327" width="10" style="139" customWidth="1"/>
    <col min="2328" max="2562" width="9.1640625" style="139"/>
    <col min="2563" max="2563" width="41.1640625" style="139" customWidth="1"/>
    <col min="2564" max="2565" width="9.6640625" style="139" customWidth="1"/>
    <col min="2566" max="2567" width="10.5" style="139" customWidth="1"/>
    <col min="2568" max="2569" width="9.6640625" style="139" customWidth="1"/>
    <col min="2570" max="2570" width="9.1640625" style="139"/>
    <col min="2571" max="2571" width="10.33203125" style="139" customWidth="1"/>
    <col min="2572" max="2573" width="9.1640625" style="139"/>
    <col min="2574" max="2577" width="10.33203125" style="139" customWidth="1"/>
    <col min="2578" max="2581" width="10.1640625" style="139" customWidth="1"/>
    <col min="2582" max="2582" width="11.33203125" style="139" customWidth="1"/>
    <col min="2583" max="2583" width="10" style="139" customWidth="1"/>
    <col min="2584" max="2818" width="9.1640625" style="139"/>
    <col min="2819" max="2819" width="41.1640625" style="139" customWidth="1"/>
    <col min="2820" max="2821" width="9.6640625" style="139" customWidth="1"/>
    <col min="2822" max="2823" width="10.5" style="139" customWidth="1"/>
    <col min="2824" max="2825" width="9.6640625" style="139" customWidth="1"/>
    <col min="2826" max="2826" width="9.1640625" style="139"/>
    <col min="2827" max="2827" width="10.33203125" style="139" customWidth="1"/>
    <col min="2828" max="2829" width="9.1640625" style="139"/>
    <col min="2830" max="2833" width="10.33203125" style="139" customWidth="1"/>
    <col min="2834" max="2837" width="10.1640625" style="139" customWidth="1"/>
    <col min="2838" max="2838" width="11.33203125" style="139" customWidth="1"/>
    <col min="2839" max="2839" width="10" style="139" customWidth="1"/>
    <col min="2840" max="3074" width="9.1640625" style="139"/>
    <col min="3075" max="3075" width="41.1640625" style="139" customWidth="1"/>
    <col min="3076" max="3077" width="9.6640625" style="139" customWidth="1"/>
    <col min="3078" max="3079" width="10.5" style="139" customWidth="1"/>
    <col min="3080" max="3081" width="9.6640625" style="139" customWidth="1"/>
    <col min="3082" max="3082" width="9.1640625" style="139"/>
    <col min="3083" max="3083" width="10.33203125" style="139" customWidth="1"/>
    <col min="3084" max="3085" width="9.1640625" style="139"/>
    <col min="3086" max="3089" width="10.33203125" style="139" customWidth="1"/>
    <col min="3090" max="3093" width="10.1640625" style="139" customWidth="1"/>
    <col min="3094" max="3094" width="11.33203125" style="139" customWidth="1"/>
    <col min="3095" max="3095" width="10" style="139" customWidth="1"/>
    <col min="3096" max="3330" width="9.1640625" style="139"/>
    <col min="3331" max="3331" width="41.1640625" style="139" customWidth="1"/>
    <col min="3332" max="3333" width="9.6640625" style="139" customWidth="1"/>
    <col min="3334" max="3335" width="10.5" style="139" customWidth="1"/>
    <col min="3336" max="3337" width="9.6640625" style="139" customWidth="1"/>
    <col min="3338" max="3338" width="9.1640625" style="139"/>
    <col min="3339" max="3339" width="10.33203125" style="139" customWidth="1"/>
    <col min="3340" max="3341" width="9.1640625" style="139"/>
    <col min="3342" max="3345" width="10.33203125" style="139" customWidth="1"/>
    <col min="3346" max="3349" width="10.1640625" style="139" customWidth="1"/>
    <col min="3350" max="3350" width="11.33203125" style="139" customWidth="1"/>
    <col min="3351" max="3351" width="10" style="139" customWidth="1"/>
    <col min="3352" max="3586" width="9.1640625" style="139"/>
    <col min="3587" max="3587" width="41.1640625" style="139" customWidth="1"/>
    <col min="3588" max="3589" width="9.6640625" style="139" customWidth="1"/>
    <col min="3590" max="3591" width="10.5" style="139" customWidth="1"/>
    <col min="3592" max="3593" width="9.6640625" style="139" customWidth="1"/>
    <col min="3594" max="3594" width="9.1640625" style="139"/>
    <col min="3595" max="3595" width="10.33203125" style="139" customWidth="1"/>
    <col min="3596" max="3597" width="9.1640625" style="139"/>
    <col min="3598" max="3601" width="10.33203125" style="139" customWidth="1"/>
    <col min="3602" max="3605" width="10.1640625" style="139" customWidth="1"/>
    <col min="3606" max="3606" width="11.33203125" style="139" customWidth="1"/>
    <col min="3607" max="3607" width="10" style="139" customWidth="1"/>
    <col min="3608" max="3842" width="9.1640625" style="139"/>
    <col min="3843" max="3843" width="41.1640625" style="139" customWidth="1"/>
    <col min="3844" max="3845" width="9.6640625" style="139" customWidth="1"/>
    <col min="3846" max="3847" width="10.5" style="139" customWidth="1"/>
    <col min="3848" max="3849" width="9.6640625" style="139" customWidth="1"/>
    <col min="3850" max="3850" width="9.1640625" style="139"/>
    <col min="3851" max="3851" width="10.33203125" style="139" customWidth="1"/>
    <col min="3852" max="3853" width="9.1640625" style="139"/>
    <col min="3854" max="3857" width="10.33203125" style="139" customWidth="1"/>
    <col min="3858" max="3861" width="10.1640625" style="139" customWidth="1"/>
    <col min="3862" max="3862" width="11.33203125" style="139" customWidth="1"/>
    <col min="3863" max="3863" width="10" style="139" customWidth="1"/>
    <col min="3864" max="4098" width="9.1640625" style="139"/>
    <col min="4099" max="4099" width="41.1640625" style="139" customWidth="1"/>
    <col min="4100" max="4101" width="9.6640625" style="139" customWidth="1"/>
    <col min="4102" max="4103" width="10.5" style="139" customWidth="1"/>
    <col min="4104" max="4105" width="9.6640625" style="139" customWidth="1"/>
    <col min="4106" max="4106" width="9.1640625" style="139"/>
    <col min="4107" max="4107" width="10.33203125" style="139" customWidth="1"/>
    <col min="4108" max="4109" width="9.1640625" style="139"/>
    <col min="4110" max="4113" width="10.33203125" style="139" customWidth="1"/>
    <col min="4114" max="4117" width="10.1640625" style="139" customWidth="1"/>
    <col min="4118" max="4118" width="11.33203125" style="139" customWidth="1"/>
    <col min="4119" max="4119" width="10" style="139" customWidth="1"/>
    <col min="4120" max="4354" width="9.1640625" style="139"/>
    <col min="4355" max="4355" width="41.1640625" style="139" customWidth="1"/>
    <col min="4356" max="4357" width="9.6640625" style="139" customWidth="1"/>
    <col min="4358" max="4359" width="10.5" style="139" customWidth="1"/>
    <col min="4360" max="4361" width="9.6640625" style="139" customWidth="1"/>
    <col min="4362" max="4362" width="9.1640625" style="139"/>
    <col min="4363" max="4363" width="10.33203125" style="139" customWidth="1"/>
    <col min="4364" max="4365" width="9.1640625" style="139"/>
    <col min="4366" max="4369" width="10.33203125" style="139" customWidth="1"/>
    <col min="4370" max="4373" width="10.1640625" style="139" customWidth="1"/>
    <col min="4374" max="4374" width="11.33203125" style="139" customWidth="1"/>
    <col min="4375" max="4375" width="10" style="139" customWidth="1"/>
    <col min="4376" max="4610" width="9.1640625" style="139"/>
    <col min="4611" max="4611" width="41.1640625" style="139" customWidth="1"/>
    <col min="4612" max="4613" width="9.6640625" style="139" customWidth="1"/>
    <col min="4614" max="4615" width="10.5" style="139" customWidth="1"/>
    <col min="4616" max="4617" width="9.6640625" style="139" customWidth="1"/>
    <col min="4618" max="4618" width="9.1640625" style="139"/>
    <col min="4619" max="4619" width="10.33203125" style="139" customWidth="1"/>
    <col min="4620" max="4621" width="9.1640625" style="139"/>
    <col min="4622" max="4625" width="10.33203125" style="139" customWidth="1"/>
    <col min="4626" max="4629" width="10.1640625" style="139" customWidth="1"/>
    <col min="4630" max="4630" width="11.33203125" style="139" customWidth="1"/>
    <col min="4631" max="4631" width="10" style="139" customWidth="1"/>
    <col min="4632" max="4866" width="9.1640625" style="139"/>
    <col min="4867" max="4867" width="41.1640625" style="139" customWidth="1"/>
    <col min="4868" max="4869" width="9.6640625" style="139" customWidth="1"/>
    <col min="4870" max="4871" width="10.5" style="139" customWidth="1"/>
    <col min="4872" max="4873" width="9.6640625" style="139" customWidth="1"/>
    <col min="4874" max="4874" width="9.1640625" style="139"/>
    <col min="4875" max="4875" width="10.33203125" style="139" customWidth="1"/>
    <col min="4876" max="4877" width="9.1640625" style="139"/>
    <col min="4878" max="4881" width="10.33203125" style="139" customWidth="1"/>
    <col min="4882" max="4885" width="10.1640625" style="139" customWidth="1"/>
    <col min="4886" max="4886" width="11.33203125" style="139" customWidth="1"/>
    <col min="4887" max="4887" width="10" style="139" customWidth="1"/>
    <col min="4888" max="5122" width="9.1640625" style="139"/>
    <col min="5123" max="5123" width="41.1640625" style="139" customWidth="1"/>
    <col min="5124" max="5125" width="9.6640625" style="139" customWidth="1"/>
    <col min="5126" max="5127" width="10.5" style="139" customWidth="1"/>
    <col min="5128" max="5129" width="9.6640625" style="139" customWidth="1"/>
    <col min="5130" max="5130" width="9.1640625" style="139"/>
    <col min="5131" max="5131" width="10.33203125" style="139" customWidth="1"/>
    <col min="5132" max="5133" width="9.1640625" style="139"/>
    <col min="5134" max="5137" width="10.33203125" style="139" customWidth="1"/>
    <col min="5138" max="5141" width="10.1640625" style="139" customWidth="1"/>
    <col min="5142" max="5142" width="11.33203125" style="139" customWidth="1"/>
    <col min="5143" max="5143" width="10" style="139" customWidth="1"/>
    <col min="5144" max="5378" width="9.1640625" style="139"/>
    <col min="5379" max="5379" width="41.1640625" style="139" customWidth="1"/>
    <col min="5380" max="5381" width="9.6640625" style="139" customWidth="1"/>
    <col min="5382" max="5383" width="10.5" style="139" customWidth="1"/>
    <col min="5384" max="5385" width="9.6640625" style="139" customWidth="1"/>
    <col min="5386" max="5386" width="9.1640625" style="139"/>
    <col min="5387" max="5387" width="10.33203125" style="139" customWidth="1"/>
    <col min="5388" max="5389" width="9.1640625" style="139"/>
    <col min="5390" max="5393" width="10.33203125" style="139" customWidth="1"/>
    <col min="5394" max="5397" width="10.1640625" style="139" customWidth="1"/>
    <col min="5398" max="5398" width="11.33203125" style="139" customWidth="1"/>
    <col min="5399" max="5399" width="10" style="139" customWidth="1"/>
    <col min="5400" max="5634" width="9.1640625" style="139"/>
    <col min="5635" max="5635" width="41.1640625" style="139" customWidth="1"/>
    <col min="5636" max="5637" width="9.6640625" style="139" customWidth="1"/>
    <col min="5638" max="5639" width="10.5" style="139" customWidth="1"/>
    <col min="5640" max="5641" width="9.6640625" style="139" customWidth="1"/>
    <col min="5642" max="5642" width="9.1640625" style="139"/>
    <col min="5643" max="5643" width="10.33203125" style="139" customWidth="1"/>
    <col min="5644" max="5645" width="9.1640625" style="139"/>
    <col min="5646" max="5649" width="10.33203125" style="139" customWidth="1"/>
    <col min="5650" max="5653" width="10.1640625" style="139" customWidth="1"/>
    <col min="5654" max="5654" width="11.33203125" style="139" customWidth="1"/>
    <col min="5655" max="5655" width="10" style="139" customWidth="1"/>
    <col min="5656" max="5890" width="9.1640625" style="139"/>
    <col min="5891" max="5891" width="41.1640625" style="139" customWidth="1"/>
    <col min="5892" max="5893" width="9.6640625" style="139" customWidth="1"/>
    <col min="5894" max="5895" width="10.5" style="139" customWidth="1"/>
    <col min="5896" max="5897" width="9.6640625" style="139" customWidth="1"/>
    <col min="5898" max="5898" width="9.1640625" style="139"/>
    <col min="5899" max="5899" width="10.33203125" style="139" customWidth="1"/>
    <col min="5900" max="5901" width="9.1640625" style="139"/>
    <col min="5902" max="5905" width="10.33203125" style="139" customWidth="1"/>
    <col min="5906" max="5909" width="10.1640625" style="139" customWidth="1"/>
    <col min="5910" max="5910" width="11.33203125" style="139" customWidth="1"/>
    <col min="5911" max="5911" width="10" style="139" customWidth="1"/>
    <col min="5912" max="6146" width="9.1640625" style="139"/>
    <col min="6147" max="6147" width="41.1640625" style="139" customWidth="1"/>
    <col min="6148" max="6149" width="9.6640625" style="139" customWidth="1"/>
    <col min="6150" max="6151" width="10.5" style="139" customWidth="1"/>
    <col min="6152" max="6153" width="9.6640625" style="139" customWidth="1"/>
    <col min="6154" max="6154" width="9.1640625" style="139"/>
    <col min="6155" max="6155" width="10.33203125" style="139" customWidth="1"/>
    <col min="6156" max="6157" width="9.1640625" style="139"/>
    <col min="6158" max="6161" width="10.33203125" style="139" customWidth="1"/>
    <col min="6162" max="6165" width="10.1640625" style="139" customWidth="1"/>
    <col min="6166" max="6166" width="11.33203125" style="139" customWidth="1"/>
    <col min="6167" max="6167" width="10" style="139" customWidth="1"/>
    <col min="6168" max="6402" width="9.1640625" style="139"/>
    <col min="6403" max="6403" width="41.1640625" style="139" customWidth="1"/>
    <col min="6404" max="6405" width="9.6640625" style="139" customWidth="1"/>
    <col min="6406" max="6407" width="10.5" style="139" customWidth="1"/>
    <col min="6408" max="6409" width="9.6640625" style="139" customWidth="1"/>
    <col min="6410" max="6410" width="9.1640625" style="139"/>
    <col min="6411" max="6411" width="10.33203125" style="139" customWidth="1"/>
    <col min="6412" max="6413" width="9.1640625" style="139"/>
    <col min="6414" max="6417" width="10.33203125" style="139" customWidth="1"/>
    <col min="6418" max="6421" width="10.1640625" style="139" customWidth="1"/>
    <col min="6422" max="6422" width="11.33203125" style="139" customWidth="1"/>
    <col min="6423" max="6423" width="10" style="139" customWidth="1"/>
    <col min="6424" max="6658" width="9.1640625" style="139"/>
    <col min="6659" max="6659" width="41.1640625" style="139" customWidth="1"/>
    <col min="6660" max="6661" width="9.6640625" style="139" customWidth="1"/>
    <col min="6662" max="6663" width="10.5" style="139" customWidth="1"/>
    <col min="6664" max="6665" width="9.6640625" style="139" customWidth="1"/>
    <col min="6666" max="6666" width="9.1640625" style="139"/>
    <col min="6667" max="6667" width="10.33203125" style="139" customWidth="1"/>
    <col min="6668" max="6669" width="9.1640625" style="139"/>
    <col min="6670" max="6673" width="10.33203125" style="139" customWidth="1"/>
    <col min="6674" max="6677" width="10.1640625" style="139" customWidth="1"/>
    <col min="6678" max="6678" width="11.33203125" style="139" customWidth="1"/>
    <col min="6679" max="6679" width="10" style="139" customWidth="1"/>
    <col min="6680" max="6914" width="9.1640625" style="139"/>
    <col min="6915" max="6915" width="41.1640625" style="139" customWidth="1"/>
    <col min="6916" max="6917" width="9.6640625" style="139" customWidth="1"/>
    <col min="6918" max="6919" width="10.5" style="139" customWidth="1"/>
    <col min="6920" max="6921" width="9.6640625" style="139" customWidth="1"/>
    <col min="6922" max="6922" width="9.1640625" style="139"/>
    <col min="6923" max="6923" width="10.33203125" style="139" customWidth="1"/>
    <col min="6924" max="6925" width="9.1640625" style="139"/>
    <col min="6926" max="6929" width="10.33203125" style="139" customWidth="1"/>
    <col min="6930" max="6933" width="10.1640625" style="139" customWidth="1"/>
    <col min="6934" max="6934" width="11.33203125" style="139" customWidth="1"/>
    <col min="6935" max="6935" width="10" style="139" customWidth="1"/>
    <col min="6936" max="7170" width="9.1640625" style="139"/>
    <col min="7171" max="7171" width="41.1640625" style="139" customWidth="1"/>
    <col min="7172" max="7173" width="9.6640625" style="139" customWidth="1"/>
    <col min="7174" max="7175" width="10.5" style="139" customWidth="1"/>
    <col min="7176" max="7177" width="9.6640625" style="139" customWidth="1"/>
    <col min="7178" max="7178" width="9.1640625" style="139"/>
    <col min="7179" max="7179" width="10.33203125" style="139" customWidth="1"/>
    <col min="7180" max="7181" width="9.1640625" style="139"/>
    <col min="7182" max="7185" width="10.33203125" style="139" customWidth="1"/>
    <col min="7186" max="7189" width="10.1640625" style="139" customWidth="1"/>
    <col min="7190" max="7190" width="11.33203125" style="139" customWidth="1"/>
    <col min="7191" max="7191" width="10" style="139" customWidth="1"/>
    <col min="7192" max="7426" width="9.1640625" style="139"/>
    <col min="7427" max="7427" width="41.1640625" style="139" customWidth="1"/>
    <col min="7428" max="7429" width="9.6640625" style="139" customWidth="1"/>
    <col min="7430" max="7431" width="10.5" style="139" customWidth="1"/>
    <col min="7432" max="7433" width="9.6640625" style="139" customWidth="1"/>
    <col min="7434" max="7434" width="9.1640625" style="139"/>
    <col min="7435" max="7435" width="10.33203125" style="139" customWidth="1"/>
    <col min="7436" max="7437" width="9.1640625" style="139"/>
    <col min="7438" max="7441" width="10.33203125" style="139" customWidth="1"/>
    <col min="7442" max="7445" width="10.1640625" style="139" customWidth="1"/>
    <col min="7446" max="7446" width="11.33203125" style="139" customWidth="1"/>
    <col min="7447" max="7447" width="10" style="139" customWidth="1"/>
    <col min="7448" max="7682" width="9.1640625" style="139"/>
    <col min="7683" max="7683" width="41.1640625" style="139" customWidth="1"/>
    <col min="7684" max="7685" width="9.6640625" style="139" customWidth="1"/>
    <col min="7686" max="7687" width="10.5" style="139" customWidth="1"/>
    <col min="7688" max="7689" width="9.6640625" style="139" customWidth="1"/>
    <col min="7690" max="7690" width="9.1640625" style="139"/>
    <col min="7691" max="7691" width="10.33203125" style="139" customWidth="1"/>
    <col min="7692" max="7693" width="9.1640625" style="139"/>
    <col min="7694" max="7697" width="10.33203125" style="139" customWidth="1"/>
    <col min="7698" max="7701" width="10.1640625" style="139" customWidth="1"/>
    <col min="7702" max="7702" width="11.33203125" style="139" customWidth="1"/>
    <col min="7703" max="7703" width="10" style="139" customWidth="1"/>
    <col min="7704" max="7938" width="9.1640625" style="139"/>
    <col min="7939" max="7939" width="41.1640625" style="139" customWidth="1"/>
    <col min="7940" max="7941" width="9.6640625" style="139" customWidth="1"/>
    <col min="7942" max="7943" width="10.5" style="139" customWidth="1"/>
    <col min="7944" max="7945" width="9.6640625" style="139" customWidth="1"/>
    <col min="7946" max="7946" width="9.1640625" style="139"/>
    <col min="7947" max="7947" width="10.33203125" style="139" customWidth="1"/>
    <col min="7948" max="7949" width="9.1640625" style="139"/>
    <col min="7950" max="7953" width="10.33203125" style="139" customWidth="1"/>
    <col min="7954" max="7957" width="10.1640625" style="139" customWidth="1"/>
    <col min="7958" max="7958" width="11.33203125" style="139" customWidth="1"/>
    <col min="7959" max="7959" width="10" style="139" customWidth="1"/>
    <col min="7960" max="8194" width="9.1640625" style="139"/>
    <col min="8195" max="8195" width="41.1640625" style="139" customWidth="1"/>
    <col min="8196" max="8197" width="9.6640625" style="139" customWidth="1"/>
    <col min="8198" max="8199" width="10.5" style="139" customWidth="1"/>
    <col min="8200" max="8201" width="9.6640625" style="139" customWidth="1"/>
    <col min="8202" max="8202" width="9.1640625" style="139"/>
    <col min="8203" max="8203" width="10.33203125" style="139" customWidth="1"/>
    <col min="8204" max="8205" width="9.1640625" style="139"/>
    <col min="8206" max="8209" width="10.33203125" style="139" customWidth="1"/>
    <col min="8210" max="8213" width="10.1640625" style="139" customWidth="1"/>
    <col min="8214" max="8214" width="11.33203125" style="139" customWidth="1"/>
    <col min="8215" max="8215" width="10" style="139" customWidth="1"/>
    <col min="8216" max="8450" width="9.1640625" style="139"/>
    <col min="8451" max="8451" width="41.1640625" style="139" customWidth="1"/>
    <col min="8452" max="8453" width="9.6640625" style="139" customWidth="1"/>
    <col min="8454" max="8455" width="10.5" style="139" customWidth="1"/>
    <col min="8456" max="8457" width="9.6640625" style="139" customWidth="1"/>
    <col min="8458" max="8458" width="9.1640625" style="139"/>
    <col min="8459" max="8459" width="10.33203125" style="139" customWidth="1"/>
    <col min="8460" max="8461" width="9.1640625" style="139"/>
    <col min="8462" max="8465" width="10.33203125" style="139" customWidth="1"/>
    <col min="8466" max="8469" width="10.1640625" style="139" customWidth="1"/>
    <col min="8470" max="8470" width="11.33203125" style="139" customWidth="1"/>
    <col min="8471" max="8471" width="10" style="139" customWidth="1"/>
    <col min="8472" max="8706" width="9.1640625" style="139"/>
    <col min="8707" max="8707" width="41.1640625" style="139" customWidth="1"/>
    <col min="8708" max="8709" width="9.6640625" style="139" customWidth="1"/>
    <col min="8710" max="8711" width="10.5" style="139" customWidth="1"/>
    <col min="8712" max="8713" width="9.6640625" style="139" customWidth="1"/>
    <col min="8714" max="8714" width="9.1640625" style="139"/>
    <col min="8715" max="8715" width="10.33203125" style="139" customWidth="1"/>
    <col min="8716" max="8717" width="9.1640625" style="139"/>
    <col min="8718" max="8721" width="10.33203125" style="139" customWidth="1"/>
    <col min="8722" max="8725" width="10.1640625" style="139" customWidth="1"/>
    <col min="8726" max="8726" width="11.33203125" style="139" customWidth="1"/>
    <col min="8727" max="8727" width="10" style="139" customWidth="1"/>
    <col min="8728" max="8962" width="9.1640625" style="139"/>
    <col min="8963" max="8963" width="41.1640625" style="139" customWidth="1"/>
    <col min="8964" max="8965" width="9.6640625" style="139" customWidth="1"/>
    <col min="8966" max="8967" width="10.5" style="139" customWidth="1"/>
    <col min="8968" max="8969" width="9.6640625" style="139" customWidth="1"/>
    <col min="8970" max="8970" width="9.1640625" style="139"/>
    <col min="8971" max="8971" width="10.33203125" style="139" customWidth="1"/>
    <col min="8972" max="8973" width="9.1640625" style="139"/>
    <col min="8974" max="8977" width="10.33203125" style="139" customWidth="1"/>
    <col min="8978" max="8981" width="10.1640625" style="139" customWidth="1"/>
    <col min="8982" max="8982" width="11.33203125" style="139" customWidth="1"/>
    <col min="8983" max="8983" width="10" style="139" customWidth="1"/>
    <col min="8984" max="9218" width="9.1640625" style="139"/>
    <col min="9219" max="9219" width="41.1640625" style="139" customWidth="1"/>
    <col min="9220" max="9221" width="9.6640625" style="139" customWidth="1"/>
    <col min="9222" max="9223" width="10.5" style="139" customWidth="1"/>
    <col min="9224" max="9225" width="9.6640625" style="139" customWidth="1"/>
    <col min="9226" max="9226" width="9.1640625" style="139"/>
    <col min="9227" max="9227" width="10.33203125" style="139" customWidth="1"/>
    <col min="9228" max="9229" width="9.1640625" style="139"/>
    <col min="9230" max="9233" width="10.33203125" style="139" customWidth="1"/>
    <col min="9234" max="9237" width="10.1640625" style="139" customWidth="1"/>
    <col min="9238" max="9238" width="11.33203125" style="139" customWidth="1"/>
    <col min="9239" max="9239" width="10" style="139" customWidth="1"/>
    <col min="9240" max="9474" width="9.1640625" style="139"/>
    <col min="9475" max="9475" width="41.1640625" style="139" customWidth="1"/>
    <col min="9476" max="9477" width="9.6640625" style="139" customWidth="1"/>
    <col min="9478" max="9479" width="10.5" style="139" customWidth="1"/>
    <col min="9480" max="9481" width="9.6640625" style="139" customWidth="1"/>
    <col min="9482" max="9482" width="9.1640625" style="139"/>
    <col min="9483" max="9483" width="10.33203125" style="139" customWidth="1"/>
    <col min="9484" max="9485" width="9.1640625" style="139"/>
    <col min="9486" max="9489" width="10.33203125" style="139" customWidth="1"/>
    <col min="9490" max="9493" width="10.1640625" style="139" customWidth="1"/>
    <col min="9494" max="9494" width="11.33203125" style="139" customWidth="1"/>
    <col min="9495" max="9495" width="10" style="139" customWidth="1"/>
    <col min="9496" max="9730" width="9.1640625" style="139"/>
    <col min="9731" max="9731" width="41.1640625" style="139" customWidth="1"/>
    <col min="9732" max="9733" width="9.6640625" style="139" customWidth="1"/>
    <col min="9734" max="9735" width="10.5" style="139" customWidth="1"/>
    <col min="9736" max="9737" width="9.6640625" style="139" customWidth="1"/>
    <col min="9738" max="9738" width="9.1640625" style="139"/>
    <col min="9739" max="9739" width="10.33203125" style="139" customWidth="1"/>
    <col min="9740" max="9741" width="9.1640625" style="139"/>
    <col min="9742" max="9745" width="10.33203125" style="139" customWidth="1"/>
    <col min="9746" max="9749" width="10.1640625" style="139" customWidth="1"/>
    <col min="9750" max="9750" width="11.33203125" style="139" customWidth="1"/>
    <col min="9751" max="9751" width="10" style="139" customWidth="1"/>
    <col min="9752" max="9986" width="9.1640625" style="139"/>
    <col min="9987" max="9987" width="41.1640625" style="139" customWidth="1"/>
    <col min="9988" max="9989" width="9.6640625" style="139" customWidth="1"/>
    <col min="9990" max="9991" width="10.5" style="139" customWidth="1"/>
    <col min="9992" max="9993" width="9.6640625" style="139" customWidth="1"/>
    <col min="9994" max="9994" width="9.1640625" style="139"/>
    <col min="9995" max="9995" width="10.33203125" style="139" customWidth="1"/>
    <col min="9996" max="9997" width="9.1640625" style="139"/>
    <col min="9998" max="10001" width="10.33203125" style="139" customWidth="1"/>
    <col min="10002" max="10005" width="10.1640625" style="139" customWidth="1"/>
    <col min="10006" max="10006" width="11.33203125" style="139" customWidth="1"/>
    <col min="10007" max="10007" width="10" style="139" customWidth="1"/>
    <col min="10008" max="10242" width="9.1640625" style="139"/>
    <col min="10243" max="10243" width="41.1640625" style="139" customWidth="1"/>
    <col min="10244" max="10245" width="9.6640625" style="139" customWidth="1"/>
    <col min="10246" max="10247" width="10.5" style="139" customWidth="1"/>
    <col min="10248" max="10249" width="9.6640625" style="139" customWidth="1"/>
    <col min="10250" max="10250" width="9.1640625" style="139"/>
    <col min="10251" max="10251" width="10.33203125" style="139" customWidth="1"/>
    <col min="10252" max="10253" width="9.1640625" style="139"/>
    <col min="10254" max="10257" width="10.33203125" style="139" customWidth="1"/>
    <col min="10258" max="10261" width="10.1640625" style="139" customWidth="1"/>
    <col min="10262" max="10262" width="11.33203125" style="139" customWidth="1"/>
    <col min="10263" max="10263" width="10" style="139" customWidth="1"/>
    <col min="10264" max="10498" width="9.1640625" style="139"/>
    <col min="10499" max="10499" width="41.1640625" style="139" customWidth="1"/>
    <col min="10500" max="10501" width="9.6640625" style="139" customWidth="1"/>
    <col min="10502" max="10503" width="10.5" style="139" customWidth="1"/>
    <col min="10504" max="10505" width="9.6640625" style="139" customWidth="1"/>
    <col min="10506" max="10506" width="9.1640625" style="139"/>
    <col min="10507" max="10507" width="10.33203125" style="139" customWidth="1"/>
    <col min="10508" max="10509" width="9.1640625" style="139"/>
    <col min="10510" max="10513" width="10.33203125" style="139" customWidth="1"/>
    <col min="10514" max="10517" width="10.1640625" style="139" customWidth="1"/>
    <col min="10518" max="10518" width="11.33203125" style="139" customWidth="1"/>
    <col min="10519" max="10519" width="10" style="139" customWidth="1"/>
    <col min="10520" max="10754" width="9.1640625" style="139"/>
    <col min="10755" max="10755" width="41.1640625" style="139" customWidth="1"/>
    <col min="10756" max="10757" width="9.6640625" style="139" customWidth="1"/>
    <col min="10758" max="10759" width="10.5" style="139" customWidth="1"/>
    <col min="10760" max="10761" width="9.6640625" style="139" customWidth="1"/>
    <col min="10762" max="10762" width="9.1640625" style="139"/>
    <col min="10763" max="10763" width="10.33203125" style="139" customWidth="1"/>
    <col min="10764" max="10765" width="9.1640625" style="139"/>
    <col min="10766" max="10769" width="10.33203125" style="139" customWidth="1"/>
    <col min="10770" max="10773" width="10.1640625" style="139" customWidth="1"/>
    <col min="10774" max="10774" width="11.33203125" style="139" customWidth="1"/>
    <col min="10775" max="10775" width="10" style="139" customWidth="1"/>
    <col min="10776" max="11010" width="9.1640625" style="139"/>
    <col min="11011" max="11011" width="41.1640625" style="139" customWidth="1"/>
    <col min="11012" max="11013" width="9.6640625" style="139" customWidth="1"/>
    <col min="11014" max="11015" width="10.5" style="139" customWidth="1"/>
    <col min="11016" max="11017" width="9.6640625" style="139" customWidth="1"/>
    <col min="11018" max="11018" width="9.1640625" style="139"/>
    <col min="11019" max="11019" width="10.33203125" style="139" customWidth="1"/>
    <col min="11020" max="11021" width="9.1640625" style="139"/>
    <col min="11022" max="11025" width="10.33203125" style="139" customWidth="1"/>
    <col min="11026" max="11029" width="10.1640625" style="139" customWidth="1"/>
    <col min="11030" max="11030" width="11.33203125" style="139" customWidth="1"/>
    <col min="11031" max="11031" width="10" style="139" customWidth="1"/>
    <col min="11032" max="11266" width="9.1640625" style="139"/>
    <col min="11267" max="11267" width="41.1640625" style="139" customWidth="1"/>
    <col min="11268" max="11269" width="9.6640625" style="139" customWidth="1"/>
    <col min="11270" max="11271" width="10.5" style="139" customWidth="1"/>
    <col min="11272" max="11273" width="9.6640625" style="139" customWidth="1"/>
    <col min="11274" max="11274" width="9.1640625" style="139"/>
    <col min="11275" max="11275" width="10.33203125" style="139" customWidth="1"/>
    <col min="11276" max="11277" width="9.1640625" style="139"/>
    <col min="11278" max="11281" width="10.33203125" style="139" customWidth="1"/>
    <col min="11282" max="11285" width="10.1640625" style="139" customWidth="1"/>
    <col min="11286" max="11286" width="11.33203125" style="139" customWidth="1"/>
    <col min="11287" max="11287" width="10" style="139" customWidth="1"/>
    <col min="11288" max="11522" width="9.1640625" style="139"/>
    <col min="11523" max="11523" width="41.1640625" style="139" customWidth="1"/>
    <col min="11524" max="11525" width="9.6640625" style="139" customWidth="1"/>
    <col min="11526" max="11527" width="10.5" style="139" customWidth="1"/>
    <col min="11528" max="11529" width="9.6640625" style="139" customWidth="1"/>
    <col min="11530" max="11530" width="9.1640625" style="139"/>
    <col min="11531" max="11531" width="10.33203125" style="139" customWidth="1"/>
    <col min="11532" max="11533" width="9.1640625" style="139"/>
    <col min="11534" max="11537" width="10.33203125" style="139" customWidth="1"/>
    <col min="11538" max="11541" width="10.1640625" style="139" customWidth="1"/>
    <col min="11542" max="11542" width="11.33203125" style="139" customWidth="1"/>
    <col min="11543" max="11543" width="10" style="139" customWidth="1"/>
    <col min="11544" max="11778" width="9.1640625" style="139"/>
    <col min="11779" max="11779" width="41.1640625" style="139" customWidth="1"/>
    <col min="11780" max="11781" width="9.6640625" style="139" customWidth="1"/>
    <col min="11782" max="11783" width="10.5" style="139" customWidth="1"/>
    <col min="11784" max="11785" width="9.6640625" style="139" customWidth="1"/>
    <col min="11786" max="11786" width="9.1640625" style="139"/>
    <col min="11787" max="11787" width="10.33203125" style="139" customWidth="1"/>
    <col min="11788" max="11789" width="9.1640625" style="139"/>
    <col min="11790" max="11793" width="10.33203125" style="139" customWidth="1"/>
    <col min="11794" max="11797" width="10.1640625" style="139" customWidth="1"/>
    <col min="11798" max="11798" width="11.33203125" style="139" customWidth="1"/>
    <col min="11799" max="11799" width="10" style="139" customWidth="1"/>
    <col min="11800" max="12034" width="9.1640625" style="139"/>
    <col min="12035" max="12035" width="41.1640625" style="139" customWidth="1"/>
    <col min="12036" max="12037" width="9.6640625" style="139" customWidth="1"/>
    <col min="12038" max="12039" width="10.5" style="139" customWidth="1"/>
    <col min="12040" max="12041" width="9.6640625" style="139" customWidth="1"/>
    <col min="12042" max="12042" width="9.1640625" style="139"/>
    <col min="12043" max="12043" width="10.33203125" style="139" customWidth="1"/>
    <col min="12044" max="12045" width="9.1640625" style="139"/>
    <col min="12046" max="12049" width="10.33203125" style="139" customWidth="1"/>
    <col min="12050" max="12053" width="10.1640625" style="139" customWidth="1"/>
    <col min="12054" max="12054" width="11.33203125" style="139" customWidth="1"/>
    <col min="12055" max="12055" width="10" style="139" customWidth="1"/>
    <col min="12056" max="12290" width="9.1640625" style="139"/>
    <col min="12291" max="12291" width="41.1640625" style="139" customWidth="1"/>
    <col min="12292" max="12293" width="9.6640625" style="139" customWidth="1"/>
    <col min="12294" max="12295" width="10.5" style="139" customWidth="1"/>
    <col min="12296" max="12297" width="9.6640625" style="139" customWidth="1"/>
    <col min="12298" max="12298" width="9.1640625" style="139"/>
    <col min="12299" max="12299" width="10.33203125" style="139" customWidth="1"/>
    <col min="12300" max="12301" width="9.1640625" style="139"/>
    <col min="12302" max="12305" width="10.33203125" style="139" customWidth="1"/>
    <col min="12306" max="12309" width="10.1640625" style="139" customWidth="1"/>
    <col min="12310" max="12310" width="11.33203125" style="139" customWidth="1"/>
    <col min="12311" max="12311" width="10" style="139" customWidth="1"/>
    <col min="12312" max="12546" width="9.1640625" style="139"/>
    <col min="12547" max="12547" width="41.1640625" style="139" customWidth="1"/>
    <col min="12548" max="12549" width="9.6640625" style="139" customWidth="1"/>
    <col min="12550" max="12551" width="10.5" style="139" customWidth="1"/>
    <col min="12552" max="12553" width="9.6640625" style="139" customWidth="1"/>
    <col min="12554" max="12554" width="9.1640625" style="139"/>
    <col min="12555" max="12555" width="10.33203125" style="139" customWidth="1"/>
    <col min="12556" max="12557" width="9.1640625" style="139"/>
    <col min="12558" max="12561" width="10.33203125" style="139" customWidth="1"/>
    <col min="12562" max="12565" width="10.1640625" style="139" customWidth="1"/>
    <col min="12566" max="12566" width="11.33203125" style="139" customWidth="1"/>
    <col min="12567" max="12567" width="10" style="139" customWidth="1"/>
    <col min="12568" max="12802" width="9.1640625" style="139"/>
    <col min="12803" max="12803" width="41.1640625" style="139" customWidth="1"/>
    <col min="12804" max="12805" width="9.6640625" style="139" customWidth="1"/>
    <col min="12806" max="12807" width="10.5" style="139" customWidth="1"/>
    <col min="12808" max="12809" width="9.6640625" style="139" customWidth="1"/>
    <col min="12810" max="12810" width="9.1640625" style="139"/>
    <col min="12811" max="12811" width="10.33203125" style="139" customWidth="1"/>
    <col min="12812" max="12813" width="9.1640625" style="139"/>
    <col min="12814" max="12817" width="10.33203125" style="139" customWidth="1"/>
    <col min="12818" max="12821" width="10.1640625" style="139" customWidth="1"/>
    <col min="12822" max="12822" width="11.33203125" style="139" customWidth="1"/>
    <col min="12823" max="12823" width="10" style="139" customWidth="1"/>
    <col min="12824" max="13058" width="9.1640625" style="139"/>
    <col min="13059" max="13059" width="41.1640625" style="139" customWidth="1"/>
    <col min="13060" max="13061" width="9.6640625" style="139" customWidth="1"/>
    <col min="13062" max="13063" width="10.5" style="139" customWidth="1"/>
    <col min="13064" max="13065" width="9.6640625" style="139" customWidth="1"/>
    <col min="13066" max="13066" width="9.1640625" style="139"/>
    <col min="13067" max="13067" width="10.33203125" style="139" customWidth="1"/>
    <col min="13068" max="13069" width="9.1640625" style="139"/>
    <col min="13070" max="13073" width="10.33203125" style="139" customWidth="1"/>
    <col min="13074" max="13077" width="10.1640625" style="139" customWidth="1"/>
    <col min="13078" max="13078" width="11.33203125" style="139" customWidth="1"/>
    <col min="13079" max="13079" width="10" style="139" customWidth="1"/>
    <col min="13080" max="13314" width="9.1640625" style="139"/>
    <col min="13315" max="13315" width="41.1640625" style="139" customWidth="1"/>
    <col min="13316" max="13317" width="9.6640625" style="139" customWidth="1"/>
    <col min="13318" max="13319" width="10.5" style="139" customWidth="1"/>
    <col min="13320" max="13321" width="9.6640625" style="139" customWidth="1"/>
    <col min="13322" max="13322" width="9.1640625" style="139"/>
    <col min="13323" max="13323" width="10.33203125" style="139" customWidth="1"/>
    <col min="13324" max="13325" width="9.1640625" style="139"/>
    <col min="13326" max="13329" width="10.33203125" style="139" customWidth="1"/>
    <col min="13330" max="13333" width="10.1640625" style="139" customWidth="1"/>
    <col min="13334" max="13334" width="11.33203125" style="139" customWidth="1"/>
    <col min="13335" max="13335" width="10" style="139" customWidth="1"/>
    <col min="13336" max="13570" width="9.1640625" style="139"/>
    <col min="13571" max="13571" width="41.1640625" style="139" customWidth="1"/>
    <col min="13572" max="13573" width="9.6640625" style="139" customWidth="1"/>
    <col min="13574" max="13575" width="10.5" style="139" customWidth="1"/>
    <col min="13576" max="13577" width="9.6640625" style="139" customWidth="1"/>
    <col min="13578" max="13578" width="9.1640625" style="139"/>
    <col min="13579" max="13579" width="10.33203125" style="139" customWidth="1"/>
    <col min="13580" max="13581" width="9.1640625" style="139"/>
    <col min="13582" max="13585" width="10.33203125" style="139" customWidth="1"/>
    <col min="13586" max="13589" width="10.1640625" style="139" customWidth="1"/>
    <col min="13590" max="13590" width="11.33203125" style="139" customWidth="1"/>
    <col min="13591" max="13591" width="10" style="139" customWidth="1"/>
    <col min="13592" max="13826" width="9.1640625" style="139"/>
    <col min="13827" max="13827" width="41.1640625" style="139" customWidth="1"/>
    <col min="13828" max="13829" width="9.6640625" style="139" customWidth="1"/>
    <col min="13830" max="13831" width="10.5" style="139" customWidth="1"/>
    <col min="13832" max="13833" width="9.6640625" style="139" customWidth="1"/>
    <col min="13834" max="13834" width="9.1640625" style="139"/>
    <col min="13835" max="13835" width="10.33203125" style="139" customWidth="1"/>
    <col min="13836" max="13837" width="9.1640625" style="139"/>
    <col min="13838" max="13841" width="10.33203125" style="139" customWidth="1"/>
    <col min="13842" max="13845" width="10.1640625" style="139" customWidth="1"/>
    <col min="13846" max="13846" width="11.33203125" style="139" customWidth="1"/>
    <col min="13847" max="13847" width="10" style="139" customWidth="1"/>
    <col min="13848" max="14082" width="9.1640625" style="139"/>
    <col min="14083" max="14083" width="41.1640625" style="139" customWidth="1"/>
    <col min="14084" max="14085" width="9.6640625" style="139" customWidth="1"/>
    <col min="14086" max="14087" width="10.5" style="139" customWidth="1"/>
    <col min="14088" max="14089" width="9.6640625" style="139" customWidth="1"/>
    <col min="14090" max="14090" width="9.1640625" style="139"/>
    <col min="14091" max="14091" width="10.33203125" style="139" customWidth="1"/>
    <col min="14092" max="14093" width="9.1640625" style="139"/>
    <col min="14094" max="14097" width="10.33203125" style="139" customWidth="1"/>
    <col min="14098" max="14101" width="10.1640625" style="139" customWidth="1"/>
    <col min="14102" max="14102" width="11.33203125" style="139" customWidth="1"/>
    <col min="14103" max="14103" width="10" style="139" customWidth="1"/>
    <col min="14104" max="14338" width="9.1640625" style="139"/>
    <col min="14339" max="14339" width="41.1640625" style="139" customWidth="1"/>
    <col min="14340" max="14341" width="9.6640625" style="139" customWidth="1"/>
    <col min="14342" max="14343" width="10.5" style="139" customWidth="1"/>
    <col min="14344" max="14345" width="9.6640625" style="139" customWidth="1"/>
    <col min="14346" max="14346" width="9.1640625" style="139"/>
    <col min="14347" max="14347" width="10.33203125" style="139" customWidth="1"/>
    <col min="14348" max="14349" width="9.1640625" style="139"/>
    <col min="14350" max="14353" width="10.33203125" style="139" customWidth="1"/>
    <col min="14354" max="14357" width="10.1640625" style="139" customWidth="1"/>
    <col min="14358" max="14358" width="11.33203125" style="139" customWidth="1"/>
    <col min="14359" max="14359" width="10" style="139" customWidth="1"/>
    <col min="14360" max="14594" width="9.1640625" style="139"/>
    <col min="14595" max="14595" width="41.1640625" style="139" customWidth="1"/>
    <col min="14596" max="14597" width="9.6640625" style="139" customWidth="1"/>
    <col min="14598" max="14599" width="10.5" style="139" customWidth="1"/>
    <col min="14600" max="14601" width="9.6640625" style="139" customWidth="1"/>
    <col min="14602" max="14602" width="9.1640625" style="139"/>
    <col min="14603" max="14603" width="10.33203125" style="139" customWidth="1"/>
    <col min="14604" max="14605" width="9.1640625" style="139"/>
    <col min="14606" max="14609" width="10.33203125" style="139" customWidth="1"/>
    <col min="14610" max="14613" width="10.1640625" style="139" customWidth="1"/>
    <col min="14614" max="14614" width="11.33203125" style="139" customWidth="1"/>
    <col min="14615" max="14615" width="10" style="139" customWidth="1"/>
    <col min="14616" max="14850" width="9.1640625" style="139"/>
    <col min="14851" max="14851" width="41.1640625" style="139" customWidth="1"/>
    <col min="14852" max="14853" width="9.6640625" style="139" customWidth="1"/>
    <col min="14854" max="14855" width="10.5" style="139" customWidth="1"/>
    <col min="14856" max="14857" width="9.6640625" style="139" customWidth="1"/>
    <col min="14858" max="14858" width="9.1640625" style="139"/>
    <col min="14859" max="14859" width="10.33203125" style="139" customWidth="1"/>
    <col min="14860" max="14861" width="9.1640625" style="139"/>
    <col min="14862" max="14865" width="10.33203125" style="139" customWidth="1"/>
    <col min="14866" max="14869" width="10.1640625" style="139" customWidth="1"/>
    <col min="14870" max="14870" width="11.33203125" style="139" customWidth="1"/>
    <col min="14871" max="14871" width="10" style="139" customWidth="1"/>
    <col min="14872" max="15106" width="9.1640625" style="139"/>
    <col min="15107" max="15107" width="41.1640625" style="139" customWidth="1"/>
    <col min="15108" max="15109" width="9.6640625" style="139" customWidth="1"/>
    <col min="15110" max="15111" width="10.5" style="139" customWidth="1"/>
    <col min="15112" max="15113" width="9.6640625" style="139" customWidth="1"/>
    <col min="15114" max="15114" width="9.1640625" style="139"/>
    <col min="15115" max="15115" width="10.33203125" style="139" customWidth="1"/>
    <col min="15116" max="15117" width="9.1640625" style="139"/>
    <col min="15118" max="15121" width="10.33203125" style="139" customWidth="1"/>
    <col min="15122" max="15125" width="10.1640625" style="139" customWidth="1"/>
    <col min="15126" max="15126" width="11.33203125" style="139" customWidth="1"/>
    <col min="15127" max="15127" width="10" style="139" customWidth="1"/>
    <col min="15128" max="15362" width="9.1640625" style="139"/>
    <col min="15363" max="15363" width="41.1640625" style="139" customWidth="1"/>
    <col min="15364" max="15365" width="9.6640625" style="139" customWidth="1"/>
    <col min="15366" max="15367" width="10.5" style="139" customWidth="1"/>
    <col min="15368" max="15369" width="9.6640625" style="139" customWidth="1"/>
    <col min="15370" max="15370" width="9.1640625" style="139"/>
    <col min="15371" max="15371" width="10.33203125" style="139" customWidth="1"/>
    <col min="15372" max="15373" width="9.1640625" style="139"/>
    <col min="15374" max="15377" width="10.33203125" style="139" customWidth="1"/>
    <col min="15378" max="15381" width="10.1640625" style="139" customWidth="1"/>
    <col min="15382" max="15382" width="11.33203125" style="139" customWidth="1"/>
    <col min="15383" max="15383" width="10" style="139" customWidth="1"/>
    <col min="15384" max="15618" width="9.1640625" style="139"/>
    <col min="15619" max="15619" width="41.1640625" style="139" customWidth="1"/>
    <col min="15620" max="15621" width="9.6640625" style="139" customWidth="1"/>
    <col min="15622" max="15623" width="10.5" style="139" customWidth="1"/>
    <col min="15624" max="15625" width="9.6640625" style="139" customWidth="1"/>
    <col min="15626" max="15626" width="9.1640625" style="139"/>
    <col min="15627" max="15627" width="10.33203125" style="139" customWidth="1"/>
    <col min="15628" max="15629" width="9.1640625" style="139"/>
    <col min="15630" max="15633" width="10.33203125" style="139" customWidth="1"/>
    <col min="15634" max="15637" width="10.1640625" style="139" customWidth="1"/>
    <col min="15638" max="15638" width="11.33203125" style="139" customWidth="1"/>
    <col min="15639" max="15639" width="10" style="139" customWidth="1"/>
    <col min="15640" max="15874" width="9.1640625" style="139"/>
    <col min="15875" max="15875" width="41.1640625" style="139" customWidth="1"/>
    <col min="15876" max="15877" width="9.6640625" style="139" customWidth="1"/>
    <col min="15878" max="15879" width="10.5" style="139" customWidth="1"/>
    <col min="15880" max="15881" width="9.6640625" style="139" customWidth="1"/>
    <col min="15882" max="15882" width="9.1640625" style="139"/>
    <col min="15883" max="15883" width="10.33203125" style="139" customWidth="1"/>
    <col min="15884" max="15885" width="9.1640625" style="139"/>
    <col min="15886" max="15889" width="10.33203125" style="139" customWidth="1"/>
    <col min="15890" max="15893" width="10.1640625" style="139" customWidth="1"/>
    <col min="15894" max="15894" width="11.33203125" style="139" customWidth="1"/>
    <col min="15895" max="15895" width="10" style="139" customWidth="1"/>
    <col min="15896" max="16130" width="9.1640625" style="139"/>
    <col min="16131" max="16131" width="41.1640625" style="139" customWidth="1"/>
    <col min="16132" max="16133" width="9.6640625" style="139" customWidth="1"/>
    <col min="16134" max="16135" width="10.5" style="139" customWidth="1"/>
    <col min="16136" max="16137" width="9.6640625" style="139" customWidth="1"/>
    <col min="16138" max="16138" width="9.1640625" style="139"/>
    <col min="16139" max="16139" width="10.33203125" style="139" customWidth="1"/>
    <col min="16140" max="16141" width="9.1640625" style="139"/>
    <col min="16142" max="16145" width="10.33203125" style="139" customWidth="1"/>
    <col min="16146" max="16149" width="10.1640625" style="139" customWidth="1"/>
    <col min="16150" max="16150" width="11.33203125" style="139" customWidth="1"/>
    <col min="16151" max="16151" width="10" style="139" customWidth="1"/>
    <col min="16152" max="16384" width="9.1640625" style="139"/>
  </cols>
  <sheetData>
    <row r="1" spans="1:45" s="227" customFormat="1" ht="20.25" customHeight="1">
      <c r="B1" s="456"/>
      <c r="C1" s="456"/>
      <c r="D1" s="457"/>
      <c r="E1" s="457"/>
      <c r="F1" s="231"/>
      <c r="G1" s="232" t="s">
        <v>254</v>
      </c>
      <c r="H1" s="231"/>
      <c r="I1" s="231"/>
      <c r="J1" s="231"/>
      <c r="K1" s="231"/>
      <c r="L1" s="231"/>
      <c r="M1" s="228"/>
      <c r="N1" s="231"/>
      <c r="O1" s="231"/>
      <c r="P1" s="228"/>
      <c r="Q1" s="233"/>
      <c r="R1" s="234"/>
      <c r="S1" s="229"/>
      <c r="T1" s="230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</row>
    <row r="2" spans="1:45" s="227" customFormat="1" ht="14.25" customHeight="1" thickBot="1">
      <c r="F2" s="231"/>
      <c r="G2" s="231"/>
      <c r="H2" s="231"/>
      <c r="I2" s="231"/>
      <c r="J2" s="231"/>
      <c r="K2" s="235"/>
      <c r="L2" s="231"/>
      <c r="M2" s="231"/>
      <c r="N2" s="231"/>
      <c r="O2" s="231"/>
      <c r="P2" s="231"/>
      <c r="Q2" s="235"/>
      <c r="R2" s="231"/>
      <c r="S2" s="236"/>
      <c r="T2" s="230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</row>
    <row r="3" spans="1:45" s="227" customFormat="1" ht="14.25" customHeight="1" thickBot="1">
      <c r="A3" s="237"/>
      <c r="B3" s="238"/>
      <c r="C3" s="238"/>
      <c r="D3" s="238"/>
      <c r="E3" s="239"/>
      <c r="F3" s="240">
        <v>1</v>
      </c>
      <c r="G3" s="241">
        <v>2</v>
      </c>
      <c r="H3" s="241">
        <v>3</v>
      </c>
      <c r="I3" s="241">
        <v>4</v>
      </c>
      <c r="J3" s="241">
        <v>5</v>
      </c>
      <c r="K3" s="241">
        <v>6</v>
      </c>
      <c r="L3" s="241">
        <v>7</v>
      </c>
      <c r="M3" s="241">
        <v>8</v>
      </c>
      <c r="N3" s="242">
        <v>9</v>
      </c>
      <c r="O3" s="242">
        <v>10</v>
      </c>
      <c r="P3" s="241">
        <v>11</v>
      </c>
      <c r="Q3" s="243">
        <v>12</v>
      </c>
      <c r="R3" s="244"/>
      <c r="S3" s="229"/>
      <c r="T3" s="230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</row>
    <row r="4" spans="1:45" s="227" customFormat="1" ht="17" thickBot="1">
      <c r="A4" s="237"/>
      <c r="B4" s="238"/>
      <c r="C4" s="238"/>
      <c r="D4" s="238"/>
      <c r="E4" s="239" t="s">
        <v>218</v>
      </c>
      <c r="F4" s="240" t="s">
        <v>219</v>
      </c>
      <c r="G4" s="241" t="s">
        <v>220</v>
      </c>
      <c r="H4" s="241" t="s">
        <v>221</v>
      </c>
      <c r="I4" s="241" t="s">
        <v>222</v>
      </c>
      <c r="J4" s="241" t="s">
        <v>223</v>
      </c>
      <c r="K4" s="241" t="s">
        <v>224</v>
      </c>
      <c r="L4" s="241" t="s">
        <v>225</v>
      </c>
      <c r="M4" s="241" t="s">
        <v>226</v>
      </c>
      <c r="N4" s="242" t="s">
        <v>227</v>
      </c>
      <c r="O4" s="241" t="s">
        <v>228</v>
      </c>
      <c r="P4" s="241" t="s">
        <v>229</v>
      </c>
      <c r="Q4" s="241" t="s">
        <v>230</v>
      </c>
      <c r="R4" s="244" t="s">
        <v>139</v>
      </c>
      <c r="S4" s="229"/>
      <c r="T4" s="230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</row>
    <row r="5" spans="1:45" s="227" customFormat="1" ht="12.75" customHeight="1">
      <c r="A5" s="267" t="s">
        <v>234</v>
      </c>
      <c r="B5" s="268"/>
      <c r="C5" s="268"/>
      <c r="D5" s="454" t="s">
        <v>235</v>
      </c>
      <c r="E5" s="455"/>
      <c r="F5" s="269"/>
      <c r="G5" s="270"/>
      <c r="H5" s="270"/>
      <c r="I5" s="270" t="s">
        <v>256</v>
      </c>
      <c r="J5" s="270" t="s">
        <v>389</v>
      </c>
      <c r="K5" s="270"/>
      <c r="L5" s="270" t="s">
        <v>256</v>
      </c>
      <c r="M5" s="270"/>
      <c r="N5" s="271" t="s">
        <v>388</v>
      </c>
      <c r="O5" s="271"/>
      <c r="P5" s="270"/>
      <c r="Q5" s="272"/>
      <c r="R5" s="273"/>
      <c r="S5" s="229"/>
      <c r="T5" s="230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</row>
    <row r="6" spans="1:45" s="227" customFormat="1" ht="12.75" customHeight="1" outlineLevel="1">
      <c r="A6" s="245"/>
      <c r="B6" s="246"/>
      <c r="C6" s="246"/>
      <c r="D6" s="445" t="s">
        <v>236</v>
      </c>
      <c r="E6" s="446"/>
      <c r="F6" s="247"/>
      <c r="G6" s="248"/>
      <c r="H6" s="248"/>
      <c r="I6" s="248" t="s">
        <v>386</v>
      </c>
      <c r="J6" s="248" t="s">
        <v>390</v>
      </c>
      <c r="K6" s="248"/>
      <c r="L6" s="248" t="s">
        <v>257</v>
      </c>
      <c r="M6" s="248"/>
      <c r="N6" s="249" t="s">
        <v>387</v>
      </c>
      <c r="O6" s="249"/>
      <c r="P6" s="248"/>
      <c r="Q6" s="274"/>
      <c r="R6" s="250"/>
      <c r="S6" s="229"/>
      <c r="T6" s="230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</row>
    <row r="7" spans="1:45" s="227" customFormat="1" ht="12.75" customHeight="1" outlineLevel="1">
      <c r="A7" s="251"/>
      <c r="B7" s="252"/>
      <c r="C7" s="252"/>
      <c r="D7" s="445" t="s">
        <v>231</v>
      </c>
      <c r="E7" s="446"/>
      <c r="F7" s="275"/>
      <c r="G7" s="276"/>
      <c r="H7" s="276"/>
      <c r="I7" s="276"/>
      <c r="J7" s="276"/>
      <c r="K7" s="276"/>
      <c r="L7" s="276" t="s">
        <v>258</v>
      </c>
      <c r="M7" s="276"/>
      <c r="N7" s="277"/>
      <c r="O7" s="277"/>
      <c r="P7" s="276"/>
      <c r="Q7" s="255"/>
      <c r="R7" s="256"/>
      <c r="S7" s="229"/>
      <c r="T7" s="230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</row>
    <row r="8" spans="1:45" s="227" customFormat="1" ht="12.75" customHeight="1" outlineLevel="1">
      <c r="A8" s="251"/>
      <c r="B8" s="252"/>
      <c r="C8" s="252"/>
      <c r="D8" s="445" t="s">
        <v>232</v>
      </c>
      <c r="E8" s="446"/>
      <c r="F8" s="257"/>
      <c r="G8" s="258"/>
      <c r="H8" s="258"/>
      <c r="I8" s="258"/>
      <c r="J8" s="258"/>
      <c r="K8" s="258"/>
      <c r="L8" s="258"/>
      <c r="M8" s="258"/>
      <c r="N8" s="259"/>
      <c r="O8" s="258"/>
      <c r="P8" s="258"/>
      <c r="Q8" s="258"/>
      <c r="R8" s="260"/>
      <c r="S8" s="229"/>
      <c r="T8" s="230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</row>
    <row r="9" spans="1:45" s="227" customFormat="1" ht="12.75" customHeight="1" outlineLevel="1">
      <c r="A9" s="251"/>
      <c r="B9" s="252"/>
      <c r="C9" s="252"/>
      <c r="D9" s="445" t="s">
        <v>237</v>
      </c>
      <c r="E9" s="446"/>
      <c r="F9" s="275"/>
      <c r="G9" s="276"/>
      <c r="H9" s="276"/>
      <c r="I9" s="276"/>
      <c r="J9" s="276"/>
      <c r="K9" s="276"/>
      <c r="L9" s="276"/>
      <c r="M9" s="276"/>
      <c r="N9" s="277"/>
      <c r="O9" s="276"/>
      <c r="P9" s="276"/>
      <c r="Q9" s="276"/>
      <c r="R9" s="256"/>
      <c r="S9" s="229"/>
      <c r="T9" s="230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</row>
    <row r="10" spans="1:45" s="227" customFormat="1" ht="12.75" customHeight="1" outlineLevel="1">
      <c r="A10" s="278" t="s">
        <v>102</v>
      </c>
      <c r="B10" s="279"/>
      <c r="C10" s="279"/>
      <c r="D10" s="280"/>
      <c r="E10" s="253"/>
      <c r="F10" s="366"/>
      <c r="G10" s="367"/>
      <c r="H10" s="367"/>
      <c r="I10" s="367"/>
      <c r="J10" s="367"/>
      <c r="K10" s="367"/>
      <c r="L10" s="367"/>
      <c r="M10" s="367"/>
      <c r="N10" s="368">
        <v>1000</v>
      </c>
      <c r="O10" s="368"/>
      <c r="P10" s="367"/>
      <c r="Q10" s="369"/>
      <c r="R10" s="370">
        <f>SUM(F10:Q10)</f>
        <v>1000</v>
      </c>
      <c r="S10" s="229"/>
      <c r="T10" s="230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</row>
    <row r="11" spans="1:45" s="227" customFormat="1" ht="12.75" customHeight="1" outlineLevel="1">
      <c r="A11" s="278" t="s">
        <v>168</v>
      </c>
      <c r="B11" s="279"/>
      <c r="C11" s="279"/>
      <c r="D11" s="280"/>
      <c r="E11" s="253"/>
      <c r="F11" s="366"/>
      <c r="G11" s="367"/>
      <c r="H11" s="367"/>
      <c r="I11" s="367"/>
      <c r="J11" s="367"/>
      <c r="K11" s="367"/>
      <c r="L11" s="367"/>
      <c r="M11" s="367"/>
      <c r="N11" s="368">
        <v>500</v>
      </c>
      <c r="O11" s="368"/>
      <c r="P11" s="367"/>
      <c r="Q11" s="369"/>
      <c r="R11" s="370">
        <f t="shared" ref="R11:R15" si="0">SUM(F11:Q11)</f>
        <v>500</v>
      </c>
      <c r="S11" s="229"/>
      <c r="T11" s="230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</row>
    <row r="12" spans="1:45" s="227" customFormat="1" ht="16" outlineLevel="1">
      <c r="A12" s="278" t="s">
        <v>233</v>
      </c>
      <c r="C12" s="286"/>
      <c r="D12" s="287"/>
      <c r="E12" s="288"/>
      <c r="F12" s="366"/>
      <c r="G12" s="367"/>
      <c r="H12" s="367"/>
      <c r="I12" s="367"/>
      <c r="J12" s="367"/>
      <c r="K12" s="367"/>
      <c r="L12" s="367"/>
      <c r="M12" s="367"/>
      <c r="N12" s="368"/>
      <c r="O12" s="368"/>
      <c r="P12" s="367"/>
      <c r="Q12" s="369"/>
      <c r="R12" s="370">
        <f t="shared" si="0"/>
        <v>0</v>
      </c>
      <c r="S12" s="229"/>
      <c r="T12" s="230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</row>
    <row r="13" spans="1:45" s="227" customFormat="1" ht="12.75" customHeight="1" outlineLevel="1">
      <c r="A13" s="278" t="s">
        <v>238</v>
      </c>
      <c r="B13" s="279"/>
      <c r="C13" s="279"/>
      <c r="D13" s="279"/>
      <c r="E13" s="289"/>
      <c r="F13" s="371"/>
      <c r="G13" s="372"/>
      <c r="H13" s="373"/>
      <c r="I13" s="372"/>
      <c r="J13" s="372"/>
      <c r="K13" s="372"/>
      <c r="L13" s="372"/>
      <c r="M13" s="372"/>
      <c r="N13" s="374"/>
      <c r="O13" s="374"/>
      <c r="P13" s="372"/>
      <c r="Q13" s="375"/>
      <c r="R13" s="370">
        <f t="shared" si="0"/>
        <v>0</v>
      </c>
      <c r="S13" s="229"/>
      <c r="T13" s="230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</row>
    <row r="14" spans="1:45" s="227" customFormat="1" ht="12.75" customHeight="1" outlineLevel="1">
      <c r="A14" s="278" t="s">
        <v>239</v>
      </c>
      <c r="B14" s="279"/>
      <c r="C14" s="279"/>
      <c r="D14" s="279"/>
      <c r="E14" s="289" t="s">
        <v>259</v>
      </c>
      <c r="F14" s="366"/>
      <c r="G14" s="367"/>
      <c r="H14" s="367"/>
      <c r="I14" s="367">
        <v>1000</v>
      </c>
      <c r="J14" s="367">
        <v>5000</v>
      </c>
      <c r="K14" s="367"/>
      <c r="L14" s="367">
        <v>1000</v>
      </c>
      <c r="M14" s="367"/>
      <c r="N14" s="368">
        <v>900</v>
      </c>
      <c r="O14" s="368"/>
      <c r="P14" s="367"/>
      <c r="Q14" s="369"/>
      <c r="R14" s="370">
        <f t="shared" si="0"/>
        <v>7900</v>
      </c>
      <c r="S14" s="229"/>
      <c r="T14" s="230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</row>
    <row r="15" spans="1:45" s="227" customFormat="1" ht="12.75" customHeight="1" outlineLevel="1" thickBot="1">
      <c r="A15" s="261" t="s">
        <v>239</v>
      </c>
      <c r="B15" s="291"/>
      <c r="C15" s="291"/>
      <c r="D15" s="291"/>
      <c r="E15" s="292" t="s">
        <v>260</v>
      </c>
      <c r="F15" s="376"/>
      <c r="G15" s="377"/>
      <c r="H15" s="377"/>
      <c r="I15" s="377">
        <v>500</v>
      </c>
      <c r="J15" s="377"/>
      <c r="K15" s="377"/>
      <c r="L15" s="377">
        <f>600+1000+750</f>
        <v>2350</v>
      </c>
      <c r="M15" s="377"/>
      <c r="N15" s="378">
        <v>1000</v>
      </c>
      <c r="O15" s="378"/>
      <c r="P15" s="377"/>
      <c r="Q15" s="379"/>
      <c r="R15" s="380">
        <f t="shared" si="0"/>
        <v>3850</v>
      </c>
      <c r="S15" s="229"/>
      <c r="T15" s="230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</row>
    <row r="16" spans="1:45" s="227" customFormat="1" ht="12.75" customHeight="1">
      <c r="A16" s="267" t="s">
        <v>240</v>
      </c>
      <c r="B16" s="268"/>
      <c r="C16" s="268"/>
      <c r="D16" s="454" t="s">
        <v>235</v>
      </c>
      <c r="E16" s="455"/>
      <c r="F16" s="269"/>
      <c r="G16" s="270"/>
      <c r="H16" s="270"/>
      <c r="I16" s="270"/>
      <c r="J16" s="270"/>
      <c r="K16" s="270"/>
      <c r="L16" s="270"/>
      <c r="M16" s="270"/>
      <c r="N16" s="271"/>
      <c r="O16" s="271"/>
      <c r="P16" s="271"/>
      <c r="Q16" s="271"/>
      <c r="R16" s="273"/>
      <c r="S16" s="229"/>
      <c r="T16" s="230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</row>
    <row r="17" spans="1:45" s="227" customFormat="1" ht="12.75" customHeight="1" outlineLevel="1">
      <c r="A17" s="245"/>
      <c r="B17" s="246"/>
      <c r="C17" s="246"/>
      <c r="D17" s="445" t="s">
        <v>236</v>
      </c>
      <c r="E17" s="446"/>
      <c r="F17" s="247"/>
      <c r="G17" s="248"/>
      <c r="H17" s="248"/>
      <c r="I17" s="248"/>
      <c r="J17" s="248"/>
      <c r="K17" s="248" t="s">
        <v>385</v>
      </c>
      <c r="L17" s="248" t="s">
        <v>264</v>
      </c>
      <c r="M17" s="248" t="s">
        <v>261</v>
      </c>
      <c r="N17" s="249"/>
      <c r="O17" s="249"/>
      <c r="P17" s="249"/>
      <c r="Q17" s="249"/>
      <c r="R17" s="250"/>
      <c r="S17" s="229"/>
      <c r="T17" s="230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</row>
    <row r="18" spans="1:45" s="227" customFormat="1" ht="12.75" customHeight="1" outlineLevel="1">
      <c r="A18" s="251"/>
      <c r="B18" s="252"/>
      <c r="C18" s="252"/>
      <c r="D18" s="445" t="s">
        <v>231</v>
      </c>
      <c r="E18" s="446"/>
      <c r="F18" s="275"/>
      <c r="G18" s="276"/>
      <c r="H18" s="293"/>
      <c r="I18" s="276"/>
      <c r="J18" s="276"/>
      <c r="K18" s="276"/>
      <c r="L18" s="276"/>
      <c r="M18" s="276"/>
      <c r="N18" s="277"/>
      <c r="O18" s="277"/>
      <c r="P18" s="276"/>
      <c r="Q18" s="255"/>
      <c r="R18" s="256"/>
      <c r="S18" s="229"/>
      <c r="T18" s="230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</row>
    <row r="19" spans="1:45" s="227" customFormat="1" ht="12.75" customHeight="1" outlineLevel="1">
      <c r="A19" s="251"/>
      <c r="B19" s="252"/>
      <c r="C19" s="252"/>
      <c r="D19" s="445" t="s">
        <v>232</v>
      </c>
      <c r="E19" s="446"/>
      <c r="F19" s="257"/>
      <c r="G19" s="258"/>
      <c r="H19" s="258"/>
      <c r="I19" s="258"/>
      <c r="J19" s="258"/>
      <c r="K19" s="258"/>
      <c r="L19" s="258"/>
      <c r="M19" s="258"/>
      <c r="N19" s="259"/>
      <c r="O19" s="258"/>
      <c r="P19" s="258"/>
      <c r="Q19" s="258"/>
      <c r="R19" s="260"/>
      <c r="S19" s="229"/>
      <c r="T19" s="230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</row>
    <row r="20" spans="1:45" s="227" customFormat="1" ht="12.75" customHeight="1" outlineLevel="1">
      <c r="A20" s="251"/>
      <c r="B20" s="252"/>
      <c r="C20" s="252"/>
      <c r="D20" s="445" t="s">
        <v>237</v>
      </c>
      <c r="E20" s="446"/>
      <c r="F20" s="275"/>
      <c r="G20" s="276"/>
      <c r="H20" s="276"/>
      <c r="I20" s="276"/>
      <c r="J20" s="276"/>
      <c r="K20" s="276"/>
      <c r="L20" s="276"/>
      <c r="M20" s="276"/>
      <c r="N20" s="277"/>
      <c r="O20" s="276"/>
      <c r="P20" s="276"/>
      <c r="Q20" s="276"/>
      <c r="R20" s="256"/>
      <c r="S20" s="229"/>
      <c r="T20" s="230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  <c r="AQ20" s="229"/>
      <c r="AR20" s="229"/>
      <c r="AS20" s="229"/>
    </row>
    <row r="21" spans="1:45" s="227" customFormat="1" ht="12.75" customHeight="1" outlineLevel="1">
      <c r="A21" s="278" t="s">
        <v>169</v>
      </c>
      <c r="B21" s="279"/>
      <c r="C21" s="279"/>
      <c r="D21" s="279"/>
      <c r="E21" s="289"/>
      <c r="F21" s="366"/>
      <c r="G21" s="367"/>
      <c r="H21" s="367"/>
      <c r="I21" s="367"/>
      <c r="J21" s="367"/>
      <c r="K21" s="367">
        <v>2000</v>
      </c>
      <c r="L21" s="367">
        <v>4000</v>
      </c>
      <c r="M21" s="367">
        <v>4000</v>
      </c>
      <c r="N21" s="368"/>
      <c r="O21" s="368"/>
      <c r="P21" s="367"/>
      <c r="Q21" s="369"/>
      <c r="R21" s="370">
        <f t="shared" ref="R21:R27" si="1">SUM(F21:Q21)</f>
        <v>10000</v>
      </c>
      <c r="S21" s="229"/>
      <c r="T21" s="230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  <c r="AQ21" s="229"/>
      <c r="AR21" s="229"/>
      <c r="AS21" s="229"/>
    </row>
    <row r="22" spans="1:45" s="227" customFormat="1" ht="12.75" customHeight="1" outlineLevel="1">
      <c r="A22" s="278" t="s">
        <v>168</v>
      </c>
      <c r="B22" s="294"/>
      <c r="C22" s="294"/>
      <c r="D22" s="294"/>
      <c r="E22" s="295"/>
      <c r="F22" s="371"/>
      <c r="G22" s="367"/>
      <c r="H22" s="372"/>
      <c r="I22" s="372"/>
      <c r="J22" s="372"/>
      <c r="K22" s="372"/>
      <c r="L22" s="372"/>
      <c r="M22" s="372"/>
      <c r="N22" s="374"/>
      <c r="O22" s="374"/>
      <c r="P22" s="372"/>
      <c r="Q22" s="375"/>
      <c r="R22" s="409">
        <f t="shared" si="1"/>
        <v>0</v>
      </c>
      <c r="S22" s="229"/>
      <c r="T22" s="230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  <c r="AQ22" s="229"/>
      <c r="AR22" s="229"/>
      <c r="AS22" s="229"/>
    </row>
    <row r="23" spans="1:45" s="227" customFormat="1" ht="16" outlineLevel="1">
      <c r="A23" s="278" t="s">
        <v>241</v>
      </c>
      <c r="B23" s="286"/>
      <c r="C23" s="286"/>
      <c r="D23" s="279"/>
      <c r="E23" s="289"/>
      <c r="F23" s="366"/>
      <c r="G23" s="367"/>
      <c r="H23" s="367"/>
      <c r="I23" s="367"/>
      <c r="J23" s="367"/>
      <c r="K23" s="367"/>
      <c r="L23" s="367"/>
      <c r="M23" s="367"/>
      <c r="N23" s="368"/>
      <c r="O23" s="368"/>
      <c r="P23" s="367"/>
      <c r="Q23" s="369"/>
      <c r="R23" s="370">
        <f t="shared" si="1"/>
        <v>0</v>
      </c>
      <c r="S23" s="229"/>
      <c r="T23" s="230"/>
      <c r="U23" s="297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</row>
    <row r="24" spans="1:45" s="227" customFormat="1" ht="12.75" customHeight="1" outlineLevel="1">
      <c r="A24" s="278" t="s">
        <v>238</v>
      </c>
      <c r="B24" s="279"/>
      <c r="C24" s="279"/>
      <c r="D24" s="279"/>
      <c r="E24" s="289"/>
      <c r="F24" s="366"/>
      <c r="G24" s="367"/>
      <c r="H24" s="367"/>
      <c r="I24" s="367"/>
      <c r="J24" s="367"/>
      <c r="K24" s="367"/>
      <c r="L24" s="367"/>
      <c r="M24" s="367"/>
      <c r="N24" s="368"/>
      <c r="O24" s="368"/>
      <c r="P24" s="367"/>
      <c r="Q24" s="369"/>
      <c r="R24" s="370">
        <f t="shared" si="1"/>
        <v>0</v>
      </c>
      <c r="S24" s="229"/>
      <c r="T24" s="230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</row>
    <row r="25" spans="1:45" s="227" customFormat="1" ht="12.75" customHeight="1" outlineLevel="1">
      <c r="A25" s="298" t="s">
        <v>170</v>
      </c>
      <c r="B25" s="299"/>
      <c r="C25" s="299"/>
      <c r="D25" s="299"/>
      <c r="E25" s="300"/>
      <c r="F25" s="410"/>
      <c r="G25" s="411"/>
      <c r="H25" s="412"/>
      <c r="I25" s="411"/>
      <c r="J25" s="411"/>
      <c r="K25" s="411"/>
      <c r="L25" s="411"/>
      <c r="M25" s="411"/>
      <c r="N25" s="413"/>
      <c r="O25" s="413"/>
      <c r="P25" s="411"/>
      <c r="Q25" s="414"/>
      <c r="R25" s="409">
        <f t="shared" si="1"/>
        <v>0</v>
      </c>
      <c r="S25" s="229"/>
      <c r="T25" s="230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</row>
    <row r="26" spans="1:45" s="227" customFormat="1" ht="12.75" customHeight="1" outlineLevel="1">
      <c r="A26" s="278" t="s">
        <v>239</v>
      </c>
      <c r="B26" s="279"/>
      <c r="C26" s="279"/>
      <c r="D26" s="279"/>
      <c r="E26" s="289" t="s">
        <v>262</v>
      </c>
      <c r="F26" s="366"/>
      <c r="G26" s="367"/>
      <c r="H26" s="367"/>
      <c r="I26" s="367"/>
      <c r="J26" s="367"/>
      <c r="K26" s="367">
        <f>9*500</f>
        <v>4500</v>
      </c>
      <c r="L26" s="367">
        <f>7*500</f>
        <v>3500</v>
      </c>
      <c r="M26" s="367">
        <f>9*1000</f>
        <v>9000</v>
      </c>
      <c r="N26" s="368"/>
      <c r="O26" s="368"/>
      <c r="P26" s="367"/>
      <c r="Q26" s="369"/>
      <c r="R26" s="370">
        <f t="shared" si="1"/>
        <v>17000</v>
      </c>
      <c r="S26" s="229"/>
      <c r="T26" s="230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</row>
    <row r="27" spans="1:45" s="227" customFormat="1" ht="12.75" customHeight="1" outlineLevel="1" thickBot="1">
      <c r="A27" s="261" t="s">
        <v>239</v>
      </c>
      <c r="B27" s="291"/>
      <c r="C27" s="291"/>
      <c r="D27" s="291"/>
      <c r="E27" s="289" t="s">
        <v>263</v>
      </c>
      <c r="F27" s="376"/>
      <c r="G27" s="377"/>
      <c r="H27" s="415"/>
      <c r="I27" s="377"/>
      <c r="J27" s="377"/>
      <c r="K27" s="377"/>
      <c r="L27" s="377"/>
      <c r="M27" s="377">
        <f>3*1000</f>
        <v>3000</v>
      </c>
      <c r="N27" s="378"/>
      <c r="O27" s="378"/>
      <c r="P27" s="377"/>
      <c r="Q27" s="379"/>
      <c r="R27" s="380">
        <f t="shared" si="1"/>
        <v>3000</v>
      </c>
      <c r="S27" s="229"/>
      <c r="T27" s="230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</row>
    <row r="28" spans="1:45" s="227" customFormat="1" ht="12.75" customHeight="1">
      <c r="A28" s="267" t="s">
        <v>242</v>
      </c>
      <c r="B28" s="268"/>
      <c r="C28" s="268"/>
      <c r="D28" s="454" t="s">
        <v>235</v>
      </c>
      <c r="E28" s="455"/>
      <c r="F28" s="269"/>
      <c r="G28" s="270"/>
      <c r="H28" s="307"/>
      <c r="I28" s="307"/>
      <c r="J28" s="270"/>
      <c r="K28" s="270"/>
      <c r="L28" s="270"/>
      <c r="M28" s="270"/>
      <c r="N28" s="271"/>
      <c r="O28" s="271"/>
      <c r="P28" s="270"/>
      <c r="Q28" s="272"/>
      <c r="R28" s="273"/>
      <c r="S28" s="229"/>
      <c r="T28" s="230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</row>
    <row r="29" spans="1:45" s="227" customFormat="1" ht="12.75" customHeight="1" outlineLevel="1">
      <c r="A29" s="245"/>
      <c r="B29" s="246"/>
      <c r="C29" s="246"/>
      <c r="D29" s="445" t="s">
        <v>236</v>
      </c>
      <c r="E29" s="446"/>
      <c r="F29" s="247"/>
      <c r="G29" s="248"/>
      <c r="H29" s="308"/>
      <c r="I29" s="308"/>
      <c r="J29" s="248"/>
      <c r="K29" s="248"/>
      <c r="L29" s="248"/>
      <c r="M29" s="248"/>
      <c r="N29" s="249"/>
      <c r="O29" s="249"/>
      <c r="P29" s="248"/>
      <c r="Q29" s="274"/>
      <c r="R29" s="250"/>
      <c r="S29" s="229"/>
      <c r="T29" s="230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</row>
    <row r="30" spans="1:45" s="227" customFormat="1" ht="12.75" customHeight="1" outlineLevel="1">
      <c r="A30" s="251"/>
      <c r="B30" s="252"/>
      <c r="C30" s="252"/>
      <c r="D30" s="445" t="s">
        <v>231</v>
      </c>
      <c r="E30" s="446"/>
      <c r="F30" s="275"/>
      <c r="G30" s="276"/>
      <c r="H30" s="254"/>
      <c r="I30" s="276"/>
      <c r="J30" s="276"/>
      <c r="K30" s="276"/>
      <c r="L30" s="276"/>
      <c r="M30" s="276"/>
      <c r="N30" s="277"/>
      <c r="O30" s="277"/>
      <c r="P30" s="276"/>
      <c r="Q30" s="255"/>
      <c r="R30" s="256"/>
      <c r="S30" s="229"/>
      <c r="T30" s="230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</row>
    <row r="31" spans="1:45" s="227" customFormat="1" ht="12.75" customHeight="1" outlineLevel="1">
      <c r="A31" s="251"/>
      <c r="B31" s="252"/>
      <c r="C31" s="252"/>
      <c r="D31" s="445" t="s">
        <v>232</v>
      </c>
      <c r="E31" s="446"/>
      <c r="F31" s="257"/>
      <c r="G31" s="258"/>
      <c r="H31" s="258"/>
      <c r="I31" s="258"/>
      <c r="J31" s="258"/>
      <c r="K31" s="258"/>
      <c r="L31" s="258"/>
      <c r="M31" s="258"/>
      <c r="N31" s="259"/>
      <c r="O31" s="258"/>
      <c r="P31" s="258"/>
      <c r="Q31" s="258"/>
      <c r="R31" s="260"/>
      <c r="S31" s="229"/>
      <c r="T31" s="230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</row>
    <row r="32" spans="1:45" s="227" customFormat="1" ht="12.75" customHeight="1" outlineLevel="1">
      <c r="A32" s="251"/>
      <c r="B32" s="252"/>
      <c r="C32" s="252"/>
      <c r="D32" s="445" t="s">
        <v>237</v>
      </c>
      <c r="E32" s="446"/>
      <c r="F32" s="275"/>
      <c r="G32" s="276"/>
      <c r="H32" s="276"/>
      <c r="I32" s="276"/>
      <c r="J32" s="276"/>
      <c r="K32" s="276"/>
      <c r="L32" s="276"/>
      <c r="M32" s="276"/>
      <c r="N32" s="277"/>
      <c r="O32" s="276"/>
      <c r="P32" s="276"/>
      <c r="Q32" s="276"/>
      <c r="R32" s="256"/>
      <c r="S32" s="229"/>
      <c r="T32" s="230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</row>
    <row r="33" spans="1:45" s="227" customFormat="1" ht="12.75" customHeight="1" outlineLevel="1">
      <c r="A33" s="278" t="s">
        <v>169</v>
      </c>
      <c r="B33" s="279"/>
      <c r="C33" s="279"/>
      <c r="D33" s="279"/>
      <c r="E33" s="289"/>
      <c r="F33" s="281"/>
      <c r="G33" s="282"/>
      <c r="H33" s="309"/>
      <c r="I33" s="282"/>
      <c r="J33" s="282"/>
      <c r="K33" s="282"/>
      <c r="L33" s="282"/>
      <c r="M33" s="282"/>
      <c r="N33" s="283"/>
      <c r="O33" s="283"/>
      <c r="P33" s="282"/>
      <c r="Q33" s="284"/>
      <c r="R33" s="285">
        <f t="shared" ref="R33:R39" si="2">SUM(F33:Q33)</f>
        <v>0</v>
      </c>
      <c r="S33" s="229"/>
      <c r="T33" s="230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</row>
    <row r="34" spans="1:45" s="227" customFormat="1" ht="12.75" customHeight="1" outlineLevel="1">
      <c r="A34" s="278" t="s">
        <v>168</v>
      </c>
      <c r="B34" s="279"/>
      <c r="C34" s="279"/>
      <c r="D34" s="279"/>
      <c r="E34" s="289"/>
      <c r="F34" s="281"/>
      <c r="G34" s="282"/>
      <c r="H34" s="309"/>
      <c r="I34" s="282"/>
      <c r="J34" s="282"/>
      <c r="K34" s="282"/>
      <c r="L34" s="282"/>
      <c r="M34" s="282"/>
      <c r="N34" s="283"/>
      <c r="O34" s="283"/>
      <c r="P34" s="282"/>
      <c r="Q34" s="284"/>
      <c r="R34" s="285">
        <f t="shared" si="2"/>
        <v>0</v>
      </c>
      <c r="S34" s="229"/>
      <c r="T34" s="230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</row>
    <row r="35" spans="1:45" s="227" customFormat="1" ht="12.75" customHeight="1" outlineLevel="1">
      <c r="A35" s="278" t="s">
        <v>241</v>
      </c>
      <c r="B35" s="286"/>
      <c r="C35" s="286"/>
      <c r="D35" s="279"/>
      <c r="E35" s="289"/>
      <c r="F35" s="281"/>
      <c r="G35" s="282"/>
      <c r="H35" s="309"/>
      <c r="I35" s="282"/>
      <c r="J35" s="282"/>
      <c r="K35" s="282"/>
      <c r="L35" s="282"/>
      <c r="M35" s="282"/>
      <c r="N35" s="283"/>
      <c r="O35" s="283"/>
      <c r="P35" s="282"/>
      <c r="Q35" s="284"/>
      <c r="R35" s="285">
        <f t="shared" si="2"/>
        <v>0</v>
      </c>
      <c r="S35" s="229"/>
      <c r="T35" s="230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</row>
    <row r="36" spans="1:45" s="227" customFormat="1" ht="12.75" customHeight="1" outlineLevel="1">
      <c r="A36" s="278" t="s">
        <v>238</v>
      </c>
      <c r="B36" s="279"/>
      <c r="C36" s="279"/>
      <c r="D36" s="279"/>
      <c r="E36" s="289"/>
      <c r="F36" s="281"/>
      <c r="G36" s="282"/>
      <c r="H36" s="282"/>
      <c r="I36" s="282"/>
      <c r="J36" s="282"/>
      <c r="K36" s="282"/>
      <c r="L36" s="282"/>
      <c r="M36" s="282"/>
      <c r="N36" s="283"/>
      <c r="O36" s="283"/>
      <c r="P36" s="282"/>
      <c r="Q36" s="284"/>
      <c r="R36" s="285">
        <f t="shared" si="2"/>
        <v>0</v>
      </c>
      <c r="S36" s="229"/>
      <c r="T36" s="230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</row>
    <row r="37" spans="1:45" s="227" customFormat="1" ht="12.75" customHeight="1" outlineLevel="1">
      <c r="A37" s="298" t="s">
        <v>170</v>
      </c>
      <c r="B37" s="299"/>
      <c r="C37" s="299"/>
      <c r="D37" s="299"/>
      <c r="E37" s="300"/>
      <c r="F37" s="301"/>
      <c r="G37" s="302"/>
      <c r="H37" s="303"/>
      <c r="I37" s="302"/>
      <c r="J37" s="302"/>
      <c r="K37" s="302"/>
      <c r="L37" s="302"/>
      <c r="M37" s="302"/>
      <c r="N37" s="304"/>
      <c r="O37" s="304"/>
      <c r="P37" s="302"/>
      <c r="Q37" s="305"/>
      <c r="R37" s="296">
        <f t="shared" si="2"/>
        <v>0</v>
      </c>
      <c r="S37" s="229"/>
      <c r="T37" s="230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</row>
    <row r="38" spans="1:45" s="227" customFormat="1" ht="12.75" customHeight="1" outlineLevel="1">
      <c r="A38" s="278" t="s">
        <v>239</v>
      </c>
      <c r="B38" s="279"/>
      <c r="C38" s="279"/>
      <c r="D38" s="279"/>
      <c r="E38" s="289"/>
      <c r="F38" s="281"/>
      <c r="G38" s="282"/>
      <c r="H38" s="282"/>
      <c r="I38" s="282"/>
      <c r="J38" s="282"/>
      <c r="K38" s="282"/>
      <c r="L38" s="282"/>
      <c r="M38" s="282"/>
      <c r="N38" s="283"/>
      <c r="O38" s="283"/>
      <c r="P38" s="282"/>
      <c r="Q38" s="284"/>
      <c r="R38" s="285">
        <f t="shared" si="2"/>
        <v>0</v>
      </c>
      <c r="S38" s="229"/>
      <c r="T38" s="230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</row>
    <row r="39" spans="1:45" s="227" customFormat="1" ht="12.75" customHeight="1" outlineLevel="1" thickBot="1">
      <c r="A39" s="261" t="s">
        <v>239</v>
      </c>
      <c r="B39" s="291"/>
      <c r="C39" s="291"/>
      <c r="D39" s="291"/>
      <c r="E39" s="292"/>
      <c r="F39" s="262"/>
      <c r="G39" s="263"/>
      <c r="H39" s="306"/>
      <c r="I39" s="263"/>
      <c r="J39" s="263"/>
      <c r="K39" s="263"/>
      <c r="L39" s="263"/>
      <c r="M39" s="263"/>
      <c r="N39" s="264"/>
      <c r="O39" s="264"/>
      <c r="P39" s="263"/>
      <c r="Q39" s="265"/>
      <c r="R39" s="266">
        <f t="shared" si="2"/>
        <v>0</v>
      </c>
      <c r="S39" s="229"/>
      <c r="T39" s="230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</row>
    <row r="40" spans="1:45" s="227" customFormat="1" ht="12.75" customHeight="1">
      <c r="A40" s="267" t="s">
        <v>243</v>
      </c>
      <c r="B40" s="268"/>
      <c r="C40" s="268"/>
      <c r="D40" s="454" t="s">
        <v>235</v>
      </c>
      <c r="E40" s="455"/>
      <c r="F40" s="269"/>
      <c r="G40" s="270"/>
      <c r="H40" s="270"/>
      <c r="I40" s="270"/>
      <c r="J40" s="270"/>
      <c r="K40" s="270"/>
      <c r="L40" s="270"/>
      <c r="M40" s="270"/>
      <c r="N40" s="271"/>
      <c r="O40" s="271"/>
      <c r="P40" s="270"/>
      <c r="Q40" s="272"/>
      <c r="R40" s="273"/>
      <c r="S40" s="229"/>
      <c r="T40" s="230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</row>
    <row r="41" spans="1:45" s="227" customFormat="1" ht="12.75" customHeight="1" outlineLevel="1">
      <c r="A41" s="245"/>
      <c r="B41" s="246"/>
      <c r="C41" s="246"/>
      <c r="D41" s="445" t="s">
        <v>236</v>
      </c>
      <c r="E41" s="446"/>
      <c r="F41" s="247"/>
      <c r="G41" s="248"/>
      <c r="H41" s="248"/>
      <c r="I41" s="248"/>
      <c r="J41" s="248"/>
      <c r="K41" s="248"/>
      <c r="L41" s="248"/>
      <c r="M41" s="248"/>
      <c r="N41" s="249"/>
      <c r="O41" s="249"/>
      <c r="P41" s="248"/>
      <c r="Q41" s="274"/>
      <c r="R41" s="250"/>
      <c r="S41" s="229"/>
      <c r="T41" s="230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</row>
    <row r="42" spans="1:45" s="227" customFormat="1" ht="12.75" customHeight="1" outlineLevel="1">
      <c r="A42" s="251"/>
      <c r="B42" s="252"/>
      <c r="C42" s="252"/>
      <c r="D42" s="445" t="s">
        <v>231</v>
      </c>
      <c r="E42" s="446"/>
      <c r="F42" s="275"/>
      <c r="G42" s="293"/>
      <c r="H42" s="276"/>
      <c r="I42" s="276"/>
      <c r="J42" s="276"/>
      <c r="K42" s="276"/>
      <c r="L42" s="276"/>
      <c r="M42" s="276"/>
      <c r="N42" s="277"/>
      <c r="O42" s="277"/>
      <c r="P42" s="276"/>
      <c r="Q42" s="255"/>
      <c r="R42" s="256"/>
      <c r="S42" s="229"/>
      <c r="T42" s="230" t="s">
        <v>244</v>
      </c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</row>
    <row r="43" spans="1:45" s="227" customFormat="1" ht="12.75" customHeight="1" outlineLevel="1">
      <c r="A43" s="251"/>
      <c r="B43" s="252"/>
      <c r="C43" s="252"/>
      <c r="D43" s="445" t="s">
        <v>232</v>
      </c>
      <c r="E43" s="446"/>
      <c r="F43" s="257"/>
      <c r="G43" s="258"/>
      <c r="H43" s="258"/>
      <c r="I43" s="258"/>
      <c r="J43" s="258"/>
      <c r="K43" s="258"/>
      <c r="L43" s="258"/>
      <c r="M43" s="258"/>
      <c r="N43" s="259"/>
      <c r="O43" s="258"/>
      <c r="P43" s="258"/>
      <c r="Q43" s="258"/>
      <c r="R43" s="260"/>
      <c r="S43" s="229"/>
      <c r="T43" s="230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</row>
    <row r="44" spans="1:45" s="227" customFormat="1" ht="12.75" customHeight="1" outlineLevel="1">
      <c r="A44" s="251"/>
      <c r="B44" s="252"/>
      <c r="C44" s="252"/>
      <c r="D44" s="445" t="s">
        <v>237</v>
      </c>
      <c r="E44" s="446"/>
      <c r="F44" s="275"/>
      <c r="G44" s="276"/>
      <c r="H44" s="276"/>
      <c r="I44" s="276"/>
      <c r="J44" s="276"/>
      <c r="K44" s="276"/>
      <c r="L44" s="276"/>
      <c r="M44" s="276"/>
      <c r="N44" s="277"/>
      <c r="O44" s="276"/>
      <c r="P44" s="276"/>
      <c r="Q44" s="276"/>
      <c r="R44" s="256"/>
      <c r="S44" s="229"/>
      <c r="T44" s="230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</row>
    <row r="45" spans="1:45" s="227" customFormat="1" ht="12.75" customHeight="1" outlineLevel="1">
      <c r="A45" s="278" t="s">
        <v>169</v>
      </c>
      <c r="B45" s="279"/>
      <c r="C45" s="279"/>
      <c r="D45" s="279"/>
      <c r="E45" s="289"/>
      <c r="F45" s="281"/>
      <c r="G45" s="282"/>
      <c r="H45" s="282"/>
      <c r="I45" s="282"/>
      <c r="J45" s="282"/>
      <c r="K45" s="282"/>
      <c r="L45" s="282"/>
      <c r="M45" s="282"/>
      <c r="N45" s="283"/>
      <c r="O45" s="283"/>
      <c r="P45" s="282"/>
      <c r="Q45" s="284"/>
      <c r="R45" s="285">
        <f t="shared" ref="R45:R57" si="3">SUM(F45:Q45)</f>
        <v>0</v>
      </c>
      <c r="S45" s="229"/>
      <c r="T45" s="230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</row>
    <row r="46" spans="1:45" s="227" customFormat="1" ht="12.75" customHeight="1" outlineLevel="1">
      <c r="A46" s="278" t="s">
        <v>168</v>
      </c>
      <c r="B46" s="279"/>
      <c r="C46" s="279"/>
      <c r="D46" s="279"/>
      <c r="E46" s="289"/>
      <c r="F46" s="281"/>
      <c r="G46" s="290"/>
      <c r="H46" s="282"/>
      <c r="I46" s="282"/>
      <c r="J46" s="282"/>
      <c r="K46" s="282"/>
      <c r="L46" s="282"/>
      <c r="M46" s="282"/>
      <c r="N46" s="283"/>
      <c r="O46" s="283"/>
      <c r="P46" s="282"/>
      <c r="Q46" s="284"/>
      <c r="R46" s="285">
        <f t="shared" si="3"/>
        <v>0</v>
      </c>
      <c r="S46" s="229"/>
      <c r="T46" s="230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</row>
    <row r="47" spans="1:45" s="227" customFormat="1" ht="12.75" customHeight="1" outlineLevel="1">
      <c r="A47" s="278" t="s">
        <v>245</v>
      </c>
      <c r="B47" s="286"/>
      <c r="C47" s="286"/>
      <c r="D47" s="279"/>
      <c r="E47" s="289"/>
      <c r="F47" s="281"/>
      <c r="G47" s="282"/>
      <c r="H47" s="282"/>
      <c r="I47" s="282"/>
      <c r="J47" s="282"/>
      <c r="K47" s="282"/>
      <c r="L47" s="282"/>
      <c r="M47" s="282"/>
      <c r="N47" s="283"/>
      <c r="O47" s="283"/>
      <c r="P47" s="282"/>
      <c r="Q47" s="284"/>
      <c r="R47" s="285">
        <f t="shared" si="3"/>
        <v>0</v>
      </c>
      <c r="S47" s="229"/>
      <c r="T47" s="230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</row>
    <row r="48" spans="1:45" s="227" customFormat="1" ht="12.75" customHeight="1" outlineLevel="1">
      <c r="A48" s="278" t="s">
        <v>238</v>
      </c>
      <c r="B48" s="310"/>
      <c r="C48" s="310"/>
      <c r="D48" s="311"/>
      <c r="E48" s="312"/>
      <c r="F48" s="313"/>
      <c r="G48" s="314"/>
      <c r="H48" s="314"/>
      <c r="I48" s="314"/>
      <c r="J48" s="314"/>
      <c r="K48" s="314"/>
      <c r="L48" s="314"/>
      <c r="M48" s="314"/>
      <c r="N48" s="315"/>
      <c r="O48" s="315"/>
      <c r="P48" s="314"/>
      <c r="Q48" s="316"/>
      <c r="R48" s="285">
        <f t="shared" si="3"/>
        <v>0</v>
      </c>
      <c r="S48" s="229"/>
      <c r="T48" s="230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</row>
    <row r="49" spans="1:45" s="227" customFormat="1" ht="12.75" customHeight="1" outlineLevel="1">
      <c r="A49" s="298" t="s">
        <v>170</v>
      </c>
      <c r="B49" s="317"/>
      <c r="C49" s="317"/>
      <c r="D49" s="317"/>
      <c r="E49" s="312"/>
      <c r="F49" s="313"/>
      <c r="G49" s="314"/>
      <c r="H49" s="318"/>
      <c r="I49" s="314"/>
      <c r="J49" s="314"/>
      <c r="K49" s="314"/>
      <c r="L49" s="314"/>
      <c r="M49" s="314"/>
      <c r="N49" s="315"/>
      <c r="O49" s="315"/>
      <c r="P49" s="314"/>
      <c r="Q49" s="316"/>
      <c r="R49" s="285">
        <f t="shared" si="3"/>
        <v>0</v>
      </c>
      <c r="S49" s="229"/>
      <c r="T49" s="230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</row>
    <row r="50" spans="1:45" s="227" customFormat="1" ht="12.75" customHeight="1" outlineLevel="1">
      <c r="A50" s="278" t="s">
        <v>239</v>
      </c>
      <c r="B50" s="279"/>
      <c r="C50" s="279"/>
      <c r="D50" s="279"/>
      <c r="E50" s="289"/>
      <c r="F50" s="281"/>
      <c r="G50" s="282"/>
      <c r="H50" s="282"/>
      <c r="I50" s="282"/>
      <c r="J50" s="282"/>
      <c r="K50" s="282"/>
      <c r="L50" s="282"/>
      <c r="M50" s="282"/>
      <c r="N50" s="283"/>
      <c r="O50" s="283"/>
      <c r="P50" s="282"/>
      <c r="Q50" s="284"/>
      <c r="R50" s="285">
        <f t="shared" si="3"/>
        <v>0</v>
      </c>
      <c r="S50" s="229"/>
      <c r="T50" s="230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</row>
    <row r="51" spans="1:45" s="227" customFormat="1" ht="12.75" customHeight="1" outlineLevel="1" thickBot="1">
      <c r="A51" s="261" t="s">
        <v>239</v>
      </c>
      <c r="B51" s="291"/>
      <c r="C51" s="291"/>
      <c r="D51" s="291"/>
      <c r="E51" s="292"/>
      <c r="F51" s="262"/>
      <c r="G51" s="263"/>
      <c r="H51" s="263"/>
      <c r="I51" s="263"/>
      <c r="J51" s="263"/>
      <c r="K51" s="263"/>
      <c r="L51" s="263"/>
      <c r="M51" s="263"/>
      <c r="N51" s="264"/>
      <c r="O51" s="264"/>
      <c r="P51" s="263"/>
      <c r="Q51" s="265"/>
      <c r="R51" s="266">
        <f t="shared" si="3"/>
        <v>0</v>
      </c>
      <c r="S51" s="229"/>
      <c r="T51" s="230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</row>
    <row r="52" spans="1:45" s="227" customFormat="1" ht="12.75" customHeight="1">
      <c r="A52" s="319" t="s">
        <v>239</v>
      </c>
      <c r="B52" s="320"/>
      <c r="C52" s="320"/>
      <c r="D52" s="321"/>
      <c r="E52" s="322"/>
      <c r="F52" s="323"/>
      <c r="G52" s="324"/>
      <c r="H52" s="324"/>
      <c r="I52" s="324"/>
      <c r="J52" s="324"/>
      <c r="K52" s="324"/>
      <c r="L52" s="324"/>
      <c r="M52" s="324"/>
      <c r="N52" s="325"/>
      <c r="O52" s="325"/>
      <c r="P52" s="324"/>
      <c r="Q52" s="326"/>
      <c r="R52" s="327">
        <f t="shared" si="3"/>
        <v>0</v>
      </c>
      <c r="S52" s="229"/>
      <c r="T52" s="230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</row>
    <row r="53" spans="1:45" s="227" customFormat="1" ht="12.75" customHeight="1" outlineLevel="1">
      <c r="A53" s="328" t="s">
        <v>239</v>
      </c>
      <c r="B53" s="329"/>
      <c r="C53" s="329"/>
      <c r="D53" s="330"/>
      <c r="E53" s="331"/>
      <c r="F53" s="332"/>
      <c r="G53" s="333"/>
      <c r="H53" s="333"/>
      <c r="I53" s="333"/>
      <c r="J53" s="333"/>
      <c r="K53" s="333"/>
      <c r="L53" s="333"/>
      <c r="M53" s="333"/>
      <c r="N53" s="334"/>
      <c r="O53" s="334"/>
      <c r="P53" s="333"/>
      <c r="Q53" s="335"/>
      <c r="R53" s="336">
        <f t="shared" si="3"/>
        <v>0</v>
      </c>
      <c r="S53" s="229"/>
      <c r="T53" s="230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</row>
    <row r="54" spans="1:45" s="227" customFormat="1" ht="12.75" customHeight="1" outlineLevel="1">
      <c r="A54" s="328" t="s">
        <v>239</v>
      </c>
      <c r="B54" s="329"/>
      <c r="C54" s="329"/>
      <c r="D54" s="330"/>
      <c r="E54" s="331"/>
      <c r="F54" s="332"/>
      <c r="G54" s="333"/>
      <c r="H54" s="333"/>
      <c r="I54" s="333"/>
      <c r="J54" s="333"/>
      <c r="K54" s="333"/>
      <c r="L54" s="333"/>
      <c r="M54" s="333"/>
      <c r="N54" s="334"/>
      <c r="O54" s="334"/>
      <c r="P54" s="333"/>
      <c r="Q54" s="335"/>
      <c r="R54" s="336">
        <f t="shared" si="3"/>
        <v>0</v>
      </c>
      <c r="S54" s="229"/>
      <c r="T54" s="230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</row>
    <row r="55" spans="1:45" s="227" customFormat="1" ht="12.75" customHeight="1" outlineLevel="1" thickBot="1">
      <c r="A55" s="337" t="s">
        <v>239</v>
      </c>
      <c r="B55" s="338"/>
      <c r="C55" s="338"/>
      <c r="D55" s="339"/>
      <c r="E55" s="340"/>
      <c r="F55" s="341"/>
      <c r="G55" s="342"/>
      <c r="H55" s="342"/>
      <c r="I55" s="342"/>
      <c r="J55" s="342"/>
      <c r="K55" s="342"/>
      <c r="L55" s="342"/>
      <c r="M55" s="342"/>
      <c r="N55" s="343"/>
      <c r="O55" s="343"/>
      <c r="P55" s="342"/>
      <c r="Q55" s="344"/>
      <c r="R55" s="345">
        <f t="shared" si="3"/>
        <v>0</v>
      </c>
      <c r="S55" s="229"/>
      <c r="T55" s="230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</row>
    <row r="56" spans="1:45" s="227" customFormat="1" ht="19.5" customHeight="1" thickBot="1">
      <c r="A56" s="346" t="s">
        <v>246</v>
      </c>
      <c r="B56" s="347"/>
      <c r="C56" s="347"/>
      <c r="D56" s="348"/>
      <c r="E56" s="349" t="s">
        <v>247</v>
      </c>
      <c r="F56" s="381">
        <f>SUM(F10:F15,F21:F27,F33:F39,F45:F51,F52:F55)</f>
        <v>0</v>
      </c>
      <c r="G56" s="381">
        <f t="shared" ref="G56:Q56" si="4">SUM(G10:G15,G21:G27,G33:G39,G45:G51,G52:G55)</f>
        <v>0</v>
      </c>
      <c r="H56" s="381">
        <f t="shared" si="4"/>
        <v>0</v>
      </c>
      <c r="I56" s="381">
        <f t="shared" si="4"/>
        <v>1500</v>
      </c>
      <c r="J56" s="381">
        <f t="shared" si="4"/>
        <v>5000</v>
      </c>
      <c r="K56" s="381">
        <f t="shared" si="4"/>
        <v>6500</v>
      </c>
      <c r="L56" s="381">
        <f t="shared" si="4"/>
        <v>10850</v>
      </c>
      <c r="M56" s="381">
        <f t="shared" si="4"/>
        <v>16000</v>
      </c>
      <c r="N56" s="381">
        <f t="shared" si="4"/>
        <v>3400</v>
      </c>
      <c r="O56" s="381">
        <f t="shared" si="4"/>
        <v>0</v>
      </c>
      <c r="P56" s="381">
        <f t="shared" si="4"/>
        <v>0</v>
      </c>
      <c r="Q56" s="381">
        <f t="shared" si="4"/>
        <v>0</v>
      </c>
      <c r="R56" s="382">
        <f>SUM(F56:Q56)</f>
        <v>43250</v>
      </c>
      <c r="S56" s="229"/>
      <c r="T56" s="230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</row>
    <row r="57" spans="1:45" s="227" customFormat="1" ht="15" customHeight="1" outlineLevel="1">
      <c r="A57" s="447" t="s">
        <v>248</v>
      </c>
      <c r="B57" s="450" t="s">
        <v>249</v>
      </c>
      <c r="C57" s="350"/>
      <c r="D57" s="351" t="s">
        <v>250</v>
      </c>
      <c r="E57" s="352" t="s">
        <v>247</v>
      </c>
      <c r="F57" s="383"/>
      <c r="G57" s="384"/>
      <c r="H57" s="384"/>
      <c r="I57" s="384"/>
      <c r="J57" s="384"/>
      <c r="K57" s="384"/>
      <c r="L57" s="384"/>
      <c r="M57" s="384"/>
      <c r="N57" s="385"/>
      <c r="O57" s="385"/>
      <c r="P57" s="384"/>
      <c r="Q57" s="386"/>
      <c r="R57" s="387">
        <f t="shared" si="3"/>
        <v>0</v>
      </c>
      <c r="S57" s="229"/>
      <c r="T57" s="230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</row>
    <row r="58" spans="1:45" s="227" customFormat="1" ht="15" customHeight="1" outlineLevel="1" thickBot="1">
      <c r="A58" s="448"/>
      <c r="B58" s="451"/>
      <c r="C58" s="353"/>
      <c r="D58" s="354"/>
      <c r="E58" s="355"/>
      <c r="F58" s="388"/>
      <c r="G58" s="389"/>
      <c r="H58" s="389"/>
      <c r="I58" s="389"/>
      <c r="J58" s="389"/>
      <c r="K58" s="389"/>
      <c r="L58" s="389"/>
      <c r="M58" s="389"/>
      <c r="N58" s="390"/>
      <c r="O58" s="390"/>
      <c r="P58" s="389"/>
      <c r="Q58" s="389"/>
      <c r="R58" s="391"/>
      <c r="S58" s="229"/>
      <c r="T58" s="230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</row>
    <row r="59" spans="1:45" s="227" customFormat="1" ht="15" customHeight="1">
      <c r="A59" s="448"/>
      <c r="B59" s="452" t="s">
        <v>255</v>
      </c>
      <c r="C59" s="356"/>
      <c r="D59" s="357" t="s">
        <v>250</v>
      </c>
      <c r="E59" s="358" t="s">
        <v>247</v>
      </c>
      <c r="F59" s="392"/>
      <c r="G59" s="393"/>
      <c r="H59" s="393"/>
      <c r="I59" s="393"/>
      <c r="J59" s="393"/>
      <c r="K59" s="393"/>
      <c r="L59" s="393"/>
      <c r="M59" s="393"/>
      <c r="N59" s="394"/>
      <c r="O59" s="394"/>
      <c r="P59" s="393"/>
      <c r="Q59" s="395"/>
      <c r="R59" s="396">
        <f t="shared" ref="R59:R68" si="5">SUM(F59:Q59)</f>
        <v>0</v>
      </c>
      <c r="S59" s="229"/>
      <c r="T59" s="230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</row>
    <row r="60" spans="1:45" s="227" customFormat="1" ht="15" customHeight="1" thickBot="1">
      <c r="A60" s="448"/>
      <c r="B60" s="453"/>
      <c r="C60" s="359"/>
      <c r="D60" s="360"/>
      <c r="E60" s="361"/>
      <c r="F60" s="397"/>
      <c r="G60" s="398"/>
      <c r="H60" s="398"/>
      <c r="I60" s="398"/>
      <c r="J60" s="398"/>
      <c r="K60" s="398"/>
      <c r="L60" s="398"/>
      <c r="M60" s="398"/>
      <c r="N60" s="399"/>
      <c r="O60" s="399"/>
      <c r="P60" s="398"/>
      <c r="Q60" s="400"/>
      <c r="R60" s="401">
        <f t="shared" si="5"/>
        <v>0</v>
      </c>
      <c r="S60" s="229"/>
      <c r="T60" s="230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</row>
    <row r="61" spans="1:45" s="227" customFormat="1" ht="15" customHeight="1">
      <c r="A61" s="448"/>
      <c r="B61" s="362"/>
      <c r="C61" s="356"/>
      <c r="D61" s="357" t="s">
        <v>250</v>
      </c>
      <c r="E61" s="358" t="s">
        <v>247</v>
      </c>
      <c r="F61" s="392"/>
      <c r="G61" s="393"/>
      <c r="H61" s="393"/>
      <c r="I61" s="393"/>
      <c r="J61" s="393"/>
      <c r="K61" s="393"/>
      <c r="L61" s="393"/>
      <c r="M61" s="393"/>
      <c r="N61" s="394"/>
      <c r="O61" s="394"/>
      <c r="P61" s="393"/>
      <c r="Q61" s="395"/>
      <c r="R61" s="396">
        <f>SUM(F61:Q61)</f>
        <v>0</v>
      </c>
      <c r="S61" s="229"/>
      <c r="T61" s="230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</row>
    <row r="62" spans="1:45" s="227" customFormat="1" ht="15" customHeight="1" thickBot="1">
      <c r="A62" s="448"/>
      <c r="B62" s="363" t="s">
        <v>251</v>
      </c>
      <c r="C62" s="359"/>
      <c r="D62" s="360"/>
      <c r="E62" s="361"/>
      <c r="F62" s="397"/>
      <c r="G62" s="398"/>
      <c r="H62" s="398"/>
      <c r="I62" s="398"/>
      <c r="J62" s="398"/>
      <c r="K62" s="398"/>
      <c r="L62" s="398"/>
      <c r="M62" s="398"/>
      <c r="N62" s="399"/>
      <c r="O62" s="399"/>
      <c r="P62" s="398"/>
      <c r="Q62" s="400"/>
      <c r="R62" s="401">
        <f>SUM(F62:Q62)</f>
        <v>0</v>
      </c>
      <c r="S62" s="229"/>
      <c r="T62" s="230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</row>
    <row r="63" spans="1:45" s="227" customFormat="1" ht="15" customHeight="1" outlineLevel="1">
      <c r="A63" s="448"/>
      <c r="B63" s="362"/>
      <c r="C63" s="356"/>
      <c r="D63" s="357" t="s">
        <v>250</v>
      </c>
      <c r="E63" s="358" t="s">
        <v>247</v>
      </c>
      <c r="F63" s="392"/>
      <c r="G63" s="393"/>
      <c r="H63" s="393"/>
      <c r="I63" s="393"/>
      <c r="J63" s="393"/>
      <c r="K63" s="393"/>
      <c r="L63" s="393"/>
      <c r="M63" s="393"/>
      <c r="N63" s="394"/>
      <c r="O63" s="394"/>
      <c r="P63" s="393"/>
      <c r="Q63" s="395"/>
      <c r="R63" s="402">
        <f t="shared" si="5"/>
        <v>0</v>
      </c>
      <c r="S63" s="229"/>
      <c r="T63" s="230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  <c r="AK63" s="229"/>
      <c r="AL63" s="229"/>
      <c r="AM63" s="229"/>
      <c r="AN63" s="229"/>
      <c r="AO63" s="229"/>
      <c r="AP63" s="229"/>
    </row>
    <row r="64" spans="1:45" s="227" customFormat="1" ht="15" customHeight="1" outlineLevel="1" thickBot="1">
      <c r="A64" s="448"/>
      <c r="B64" s="363" t="s">
        <v>251</v>
      </c>
      <c r="C64" s="359"/>
      <c r="D64" s="360"/>
      <c r="E64" s="361"/>
      <c r="F64" s="397"/>
      <c r="G64" s="398"/>
      <c r="H64" s="398"/>
      <c r="I64" s="398"/>
      <c r="J64" s="398"/>
      <c r="K64" s="398"/>
      <c r="L64" s="398"/>
      <c r="M64" s="398"/>
      <c r="N64" s="399"/>
      <c r="O64" s="399"/>
      <c r="P64" s="398"/>
      <c r="Q64" s="400"/>
      <c r="R64" s="401">
        <f t="shared" si="5"/>
        <v>0</v>
      </c>
      <c r="S64" s="229"/>
      <c r="T64" s="230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</row>
    <row r="65" spans="1:42" s="227" customFormat="1" ht="15" customHeight="1" outlineLevel="1">
      <c r="A65" s="448"/>
      <c r="B65" s="362"/>
      <c r="C65" s="356"/>
      <c r="D65" s="357" t="s">
        <v>250</v>
      </c>
      <c r="E65" s="358" t="s">
        <v>247</v>
      </c>
      <c r="F65" s="403"/>
      <c r="G65" s="404"/>
      <c r="H65" s="404"/>
      <c r="I65" s="404"/>
      <c r="J65" s="404"/>
      <c r="K65" s="404"/>
      <c r="L65" s="404"/>
      <c r="M65" s="404"/>
      <c r="N65" s="405"/>
      <c r="O65" s="405"/>
      <c r="P65" s="404"/>
      <c r="Q65" s="406"/>
      <c r="R65" s="402">
        <f t="shared" si="5"/>
        <v>0</v>
      </c>
      <c r="S65" s="229"/>
      <c r="T65" s="230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  <c r="AK65" s="229"/>
      <c r="AL65" s="229"/>
      <c r="AM65" s="229"/>
      <c r="AN65" s="229"/>
      <c r="AO65" s="229"/>
      <c r="AP65" s="229"/>
    </row>
    <row r="66" spans="1:42" s="227" customFormat="1" ht="15" customHeight="1" outlineLevel="1" thickBot="1">
      <c r="A66" s="449"/>
      <c r="B66" s="363" t="s">
        <v>251</v>
      </c>
      <c r="C66" s="359"/>
      <c r="D66" s="360"/>
      <c r="E66" s="361"/>
      <c r="F66" s="397"/>
      <c r="G66" s="398"/>
      <c r="H66" s="398"/>
      <c r="I66" s="398"/>
      <c r="J66" s="398"/>
      <c r="K66" s="398"/>
      <c r="L66" s="398"/>
      <c r="M66" s="398"/>
      <c r="N66" s="399"/>
      <c r="O66" s="399"/>
      <c r="P66" s="398"/>
      <c r="Q66" s="400"/>
      <c r="R66" s="401">
        <f t="shared" si="5"/>
        <v>0</v>
      </c>
      <c r="S66" s="229"/>
      <c r="T66" s="230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  <c r="AK66" s="229"/>
      <c r="AL66" s="229"/>
      <c r="AM66" s="229"/>
      <c r="AN66" s="229"/>
      <c r="AO66" s="229"/>
      <c r="AP66" s="229"/>
    </row>
    <row r="67" spans="1:42" s="227" customFormat="1" ht="19.5" customHeight="1" thickBot="1">
      <c r="A67" s="237" t="s">
        <v>252</v>
      </c>
      <c r="B67" s="238"/>
      <c r="C67" s="238"/>
      <c r="D67" s="364" t="s">
        <v>250</v>
      </c>
      <c r="E67" s="365" t="s">
        <v>247</v>
      </c>
      <c r="F67" s="407">
        <f t="shared" ref="F67:Q67" si="6">F57+F59+F61+F63+F65</f>
        <v>0</v>
      </c>
      <c r="G67" s="407">
        <f t="shared" si="6"/>
        <v>0</v>
      </c>
      <c r="H67" s="407">
        <f t="shared" si="6"/>
        <v>0</v>
      </c>
      <c r="I67" s="407">
        <f t="shared" si="6"/>
        <v>0</v>
      </c>
      <c r="J67" s="407">
        <f t="shared" si="6"/>
        <v>0</v>
      </c>
      <c r="K67" s="407">
        <f t="shared" si="6"/>
        <v>0</v>
      </c>
      <c r="L67" s="407">
        <f t="shared" si="6"/>
        <v>0</v>
      </c>
      <c r="M67" s="407">
        <f t="shared" si="6"/>
        <v>0</v>
      </c>
      <c r="N67" s="407">
        <f t="shared" si="6"/>
        <v>0</v>
      </c>
      <c r="O67" s="407">
        <f t="shared" si="6"/>
        <v>0</v>
      </c>
      <c r="P67" s="407">
        <f t="shared" si="6"/>
        <v>0</v>
      </c>
      <c r="Q67" s="407">
        <f t="shared" si="6"/>
        <v>0</v>
      </c>
      <c r="R67" s="408">
        <f t="shared" si="5"/>
        <v>0</v>
      </c>
      <c r="S67" s="229"/>
      <c r="T67" s="230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</row>
    <row r="68" spans="1:42" s="227" customFormat="1" ht="19.5" customHeight="1" thickBot="1">
      <c r="A68" s="237" t="s">
        <v>252</v>
      </c>
      <c r="B68" s="238"/>
      <c r="C68" s="238"/>
      <c r="D68" s="364" t="s">
        <v>253</v>
      </c>
      <c r="E68" s="365" t="s">
        <v>247</v>
      </c>
      <c r="F68" s="407">
        <f t="shared" ref="F68:Q68" si="7">F58+F60+F62+F64+F66</f>
        <v>0</v>
      </c>
      <c r="G68" s="407">
        <f t="shared" si="7"/>
        <v>0</v>
      </c>
      <c r="H68" s="407">
        <f t="shared" si="7"/>
        <v>0</v>
      </c>
      <c r="I68" s="407">
        <f t="shared" si="7"/>
        <v>0</v>
      </c>
      <c r="J68" s="407">
        <f t="shared" si="7"/>
        <v>0</v>
      </c>
      <c r="K68" s="407">
        <f t="shared" si="7"/>
        <v>0</v>
      </c>
      <c r="L68" s="407">
        <f t="shared" si="7"/>
        <v>0</v>
      </c>
      <c r="M68" s="407">
        <f t="shared" si="7"/>
        <v>0</v>
      </c>
      <c r="N68" s="407">
        <f t="shared" si="7"/>
        <v>0</v>
      </c>
      <c r="O68" s="407">
        <f t="shared" si="7"/>
        <v>0</v>
      </c>
      <c r="P68" s="407">
        <f t="shared" si="7"/>
        <v>0</v>
      </c>
      <c r="Q68" s="407">
        <f t="shared" si="7"/>
        <v>0</v>
      </c>
      <c r="R68" s="408">
        <f t="shared" si="5"/>
        <v>0</v>
      </c>
      <c r="S68" s="229"/>
      <c r="T68" s="230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  <c r="AK68" s="229"/>
      <c r="AL68" s="229"/>
      <c r="AM68" s="229"/>
      <c r="AN68" s="229"/>
      <c r="AO68" s="229"/>
      <c r="AP68" s="229"/>
    </row>
  </sheetData>
  <mergeCells count="25">
    <mergeCell ref="D5:E5"/>
    <mergeCell ref="D6:E6"/>
    <mergeCell ref="D7:E7"/>
    <mergeCell ref="B1:C1"/>
    <mergeCell ref="D1:E1"/>
    <mergeCell ref="D8:E8"/>
    <mergeCell ref="D9:E9"/>
    <mergeCell ref="D16:E16"/>
    <mergeCell ref="D17:E17"/>
    <mergeCell ref="D18:E18"/>
    <mergeCell ref="D19:E19"/>
    <mergeCell ref="D20:E20"/>
    <mergeCell ref="D28:E28"/>
    <mergeCell ref="D29:E29"/>
    <mergeCell ref="D30:E30"/>
    <mergeCell ref="D31:E31"/>
    <mergeCell ref="D32:E32"/>
    <mergeCell ref="D40:E40"/>
    <mergeCell ref="D41:E41"/>
    <mergeCell ref="D42:E42"/>
    <mergeCell ref="D43:E43"/>
    <mergeCell ref="D44:E44"/>
    <mergeCell ref="A57:A66"/>
    <mergeCell ref="B57:B58"/>
    <mergeCell ref="B59:B60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F80B-5B33-3041-B645-97DB20C2BBC5}">
  <dimension ref="A1:AN95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9" defaultRowHeight="14"/>
  <cols>
    <col min="1" max="1" width="50.33203125" style="139" customWidth="1"/>
    <col min="2" max="2" width="10.33203125" style="140" customWidth="1"/>
    <col min="3" max="3" width="14" style="140" customWidth="1"/>
    <col min="4" max="4" width="9" style="159"/>
    <col min="5" max="5" width="13.5" style="159" customWidth="1"/>
    <col min="6" max="6" width="10.33203125" style="159" customWidth="1"/>
    <col min="7" max="7" width="14" style="159" customWidth="1"/>
    <col min="8" max="8" width="10.33203125" style="159" customWidth="1"/>
    <col min="9" max="9" width="14.5" style="159" customWidth="1"/>
    <col min="10" max="10" width="10.33203125" style="159" customWidth="1"/>
    <col min="11" max="11" width="15.6640625" style="159" customWidth="1"/>
    <col min="12" max="12" width="8.1640625" style="553" customWidth="1"/>
    <col min="13" max="13" width="13.6640625" style="159" customWidth="1"/>
    <col min="14" max="14" width="10.1640625" style="159" customWidth="1"/>
    <col min="15" max="17" width="13.83203125" style="159" customWidth="1"/>
    <col min="18" max="18" width="11" style="159" customWidth="1"/>
    <col min="19" max="19" width="15" style="159" customWidth="1"/>
    <col min="20" max="20" width="9" style="159"/>
    <col min="21" max="254" width="9" style="139"/>
    <col min="255" max="255" width="41" style="139" customWidth="1"/>
    <col min="256" max="257" width="9.5" style="139" customWidth="1"/>
    <col min="258" max="259" width="10.5" style="139" customWidth="1"/>
    <col min="260" max="261" width="9.5" style="139" customWidth="1"/>
    <col min="262" max="262" width="9" style="139"/>
    <col min="263" max="263" width="10.33203125" style="139" customWidth="1"/>
    <col min="264" max="265" width="9" style="139"/>
    <col min="266" max="269" width="10.33203125" style="139" customWidth="1"/>
    <col min="270" max="273" width="10" style="139" customWidth="1"/>
    <col min="274" max="274" width="11.33203125" style="139" customWidth="1"/>
    <col min="275" max="275" width="10" style="139" customWidth="1"/>
    <col min="276" max="510" width="9" style="139"/>
    <col min="511" max="511" width="41" style="139" customWidth="1"/>
    <col min="512" max="513" width="9.5" style="139" customWidth="1"/>
    <col min="514" max="515" width="10.5" style="139" customWidth="1"/>
    <col min="516" max="517" width="9.5" style="139" customWidth="1"/>
    <col min="518" max="518" width="9" style="139"/>
    <col min="519" max="519" width="10.33203125" style="139" customWidth="1"/>
    <col min="520" max="521" width="9" style="139"/>
    <col min="522" max="525" width="10.33203125" style="139" customWidth="1"/>
    <col min="526" max="529" width="10" style="139" customWidth="1"/>
    <col min="530" max="530" width="11.33203125" style="139" customWidth="1"/>
    <col min="531" max="531" width="10" style="139" customWidth="1"/>
    <col min="532" max="766" width="9" style="139"/>
    <col min="767" max="767" width="41" style="139" customWidth="1"/>
    <col min="768" max="769" width="9.5" style="139" customWidth="1"/>
    <col min="770" max="771" width="10.5" style="139" customWidth="1"/>
    <col min="772" max="773" width="9.5" style="139" customWidth="1"/>
    <col min="774" max="774" width="9" style="139"/>
    <col min="775" max="775" width="10.33203125" style="139" customWidth="1"/>
    <col min="776" max="777" width="9" style="139"/>
    <col min="778" max="781" width="10.33203125" style="139" customWidth="1"/>
    <col min="782" max="785" width="10" style="139" customWidth="1"/>
    <col min="786" max="786" width="11.33203125" style="139" customWidth="1"/>
    <col min="787" max="787" width="10" style="139" customWidth="1"/>
    <col min="788" max="1022" width="9" style="139"/>
    <col min="1023" max="1023" width="41" style="139" customWidth="1"/>
    <col min="1024" max="1025" width="9.5" style="139" customWidth="1"/>
    <col min="1026" max="1027" width="10.5" style="139" customWidth="1"/>
    <col min="1028" max="1029" width="9.5" style="139" customWidth="1"/>
    <col min="1030" max="1030" width="9" style="139"/>
    <col min="1031" max="1031" width="10.33203125" style="139" customWidth="1"/>
    <col min="1032" max="1033" width="9" style="139"/>
    <col min="1034" max="1037" width="10.33203125" style="139" customWidth="1"/>
    <col min="1038" max="1041" width="10" style="139" customWidth="1"/>
    <col min="1042" max="1042" width="11.33203125" style="139" customWidth="1"/>
    <col min="1043" max="1043" width="10" style="139" customWidth="1"/>
    <col min="1044" max="1278" width="9" style="139"/>
    <col min="1279" max="1279" width="41" style="139" customWidth="1"/>
    <col min="1280" max="1281" width="9.5" style="139" customWidth="1"/>
    <col min="1282" max="1283" width="10.5" style="139" customWidth="1"/>
    <col min="1284" max="1285" width="9.5" style="139" customWidth="1"/>
    <col min="1286" max="1286" width="9" style="139"/>
    <col min="1287" max="1287" width="10.33203125" style="139" customWidth="1"/>
    <col min="1288" max="1289" width="9" style="139"/>
    <col min="1290" max="1293" width="10.33203125" style="139" customWidth="1"/>
    <col min="1294" max="1297" width="10" style="139" customWidth="1"/>
    <col min="1298" max="1298" width="11.33203125" style="139" customWidth="1"/>
    <col min="1299" max="1299" width="10" style="139" customWidth="1"/>
    <col min="1300" max="1534" width="9" style="139"/>
    <col min="1535" max="1535" width="41" style="139" customWidth="1"/>
    <col min="1536" max="1537" width="9.5" style="139" customWidth="1"/>
    <col min="1538" max="1539" width="10.5" style="139" customWidth="1"/>
    <col min="1540" max="1541" width="9.5" style="139" customWidth="1"/>
    <col min="1542" max="1542" width="9" style="139"/>
    <col min="1543" max="1543" width="10.33203125" style="139" customWidth="1"/>
    <col min="1544" max="1545" width="9" style="139"/>
    <col min="1546" max="1549" width="10.33203125" style="139" customWidth="1"/>
    <col min="1550" max="1553" width="10" style="139" customWidth="1"/>
    <col min="1554" max="1554" width="11.33203125" style="139" customWidth="1"/>
    <col min="1555" max="1555" width="10" style="139" customWidth="1"/>
    <col min="1556" max="1790" width="9" style="139"/>
    <col min="1791" max="1791" width="41" style="139" customWidth="1"/>
    <col min="1792" max="1793" width="9.5" style="139" customWidth="1"/>
    <col min="1794" max="1795" width="10.5" style="139" customWidth="1"/>
    <col min="1796" max="1797" width="9.5" style="139" customWidth="1"/>
    <col min="1798" max="1798" width="9" style="139"/>
    <col min="1799" max="1799" width="10.33203125" style="139" customWidth="1"/>
    <col min="1800" max="1801" width="9" style="139"/>
    <col min="1802" max="1805" width="10.33203125" style="139" customWidth="1"/>
    <col min="1806" max="1809" width="10" style="139" customWidth="1"/>
    <col min="1810" max="1810" width="11.33203125" style="139" customWidth="1"/>
    <col min="1811" max="1811" width="10" style="139" customWidth="1"/>
    <col min="1812" max="2046" width="9" style="139"/>
    <col min="2047" max="2047" width="41" style="139" customWidth="1"/>
    <col min="2048" max="2049" width="9.5" style="139" customWidth="1"/>
    <col min="2050" max="2051" width="10.5" style="139" customWidth="1"/>
    <col min="2052" max="2053" width="9.5" style="139" customWidth="1"/>
    <col min="2054" max="2054" width="9" style="139"/>
    <col min="2055" max="2055" width="10.33203125" style="139" customWidth="1"/>
    <col min="2056" max="2057" width="9" style="139"/>
    <col min="2058" max="2061" width="10.33203125" style="139" customWidth="1"/>
    <col min="2062" max="2065" width="10" style="139" customWidth="1"/>
    <col min="2066" max="2066" width="11.33203125" style="139" customWidth="1"/>
    <col min="2067" max="2067" width="10" style="139" customWidth="1"/>
    <col min="2068" max="2302" width="9" style="139"/>
    <col min="2303" max="2303" width="41" style="139" customWidth="1"/>
    <col min="2304" max="2305" width="9.5" style="139" customWidth="1"/>
    <col min="2306" max="2307" width="10.5" style="139" customWidth="1"/>
    <col min="2308" max="2309" width="9.5" style="139" customWidth="1"/>
    <col min="2310" max="2310" width="9" style="139"/>
    <col min="2311" max="2311" width="10.33203125" style="139" customWidth="1"/>
    <col min="2312" max="2313" width="9" style="139"/>
    <col min="2314" max="2317" width="10.33203125" style="139" customWidth="1"/>
    <col min="2318" max="2321" width="10" style="139" customWidth="1"/>
    <col min="2322" max="2322" width="11.33203125" style="139" customWidth="1"/>
    <col min="2323" max="2323" width="10" style="139" customWidth="1"/>
    <col min="2324" max="2558" width="9" style="139"/>
    <col min="2559" max="2559" width="41" style="139" customWidth="1"/>
    <col min="2560" max="2561" width="9.5" style="139" customWidth="1"/>
    <col min="2562" max="2563" width="10.5" style="139" customWidth="1"/>
    <col min="2564" max="2565" width="9.5" style="139" customWidth="1"/>
    <col min="2566" max="2566" width="9" style="139"/>
    <col min="2567" max="2567" width="10.33203125" style="139" customWidth="1"/>
    <col min="2568" max="2569" width="9" style="139"/>
    <col min="2570" max="2573" width="10.33203125" style="139" customWidth="1"/>
    <col min="2574" max="2577" width="10" style="139" customWidth="1"/>
    <col min="2578" max="2578" width="11.33203125" style="139" customWidth="1"/>
    <col min="2579" max="2579" width="10" style="139" customWidth="1"/>
    <col min="2580" max="2814" width="9" style="139"/>
    <col min="2815" max="2815" width="41" style="139" customWidth="1"/>
    <col min="2816" max="2817" width="9.5" style="139" customWidth="1"/>
    <col min="2818" max="2819" width="10.5" style="139" customWidth="1"/>
    <col min="2820" max="2821" width="9.5" style="139" customWidth="1"/>
    <col min="2822" max="2822" width="9" style="139"/>
    <col min="2823" max="2823" width="10.33203125" style="139" customWidth="1"/>
    <col min="2824" max="2825" width="9" style="139"/>
    <col min="2826" max="2829" width="10.33203125" style="139" customWidth="1"/>
    <col min="2830" max="2833" width="10" style="139" customWidth="1"/>
    <col min="2834" max="2834" width="11.33203125" style="139" customWidth="1"/>
    <col min="2835" max="2835" width="10" style="139" customWidth="1"/>
    <col min="2836" max="3070" width="9" style="139"/>
    <col min="3071" max="3071" width="41" style="139" customWidth="1"/>
    <col min="3072" max="3073" width="9.5" style="139" customWidth="1"/>
    <col min="3074" max="3075" width="10.5" style="139" customWidth="1"/>
    <col min="3076" max="3077" width="9.5" style="139" customWidth="1"/>
    <col min="3078" max="3078" width="9" style="139"/>
    <col min="3079" max="3079" width="10.33203125" style="139" customWidth="1"/>
    <col min="3080" max="3081" width="9" style="139"/>
    <col min="3082" max="3085" width="10.33203125" style="139" customWidth="1"/>
    <col min="3086" max="3089" width="10" style="139" customWidth="1"/>
    <col min="3090" max="3090" width="11.33203125" style="139" customWidth="1"/>
    <col min="3091" max="3091" width="10" style="139" customWidth="1"/>
    <col min="3092" max="3326" width="9" style="139"/>
    <col min="3327" max="3327" width="41" style="139" customWidth="1"/>
    <col min="3328" max="3329" width="9.5" style="139" customWidth="1"/>
    <col min="3330" max="3331" width="10.5" style="139" customWidth="1"/>
    <col min="3332" max="3333" width="9.5" style="139" customWidth="1"/>
    <col min="3334" max="3334" width="9" style="139"/>
    <col min="3335" max="3335" width="10.33203125" style="139" customWidth="1"/>
    <col min="3336" max="3337" width="9" style="139"/>
    <col min="3338" max="3341" width="10.33203125" style="139" customWidth="1"/>
    <col min="3342" max="3345" width="10" style="139" customWidth="1"/>
    <col min="3346" max="3346" width="11.33203125" style="139" customWidth="1"/>
    <col min="3347" max="3347" width="10" style="139" customWidth="1"/>
    <col min="3348" max="3582" width="9" style="139"/>
    <col min="3583" max="3583" width="41" style="139" customWidth="1"/>
    <col min="3584" max="3585" width="9.5" style="139" customWidth="1"/>
    <col min="3586" max="3587" width="10.5" style="139" customWidth="1"/>
    <col min="3588" max="3589" width="9.5" style="139" customWidth="1"/>
    <col min="3590" max="3590" width="9" style="139"/>
    <col min="3591" max="3591" width="10.33203125" style="139" customWidth="1"/>
    <col min="3592" max="3593" width="9" style="139"/>
    <col min="3594" max="3597" width="10.33203125" style="139" customWidth="1"/>
    <col min="3598" max="3601" width="10" style="139" customWidth="1"/>
    <col min="3602" max="3602" width="11.33203125" style="139" customWidth="1"/>
    <col min="3603" max="3603" width="10" style="139" customWidth="1"/>
    <col min="3604" max="3838" width="9" style="139"/>
    <col min="3839" max="3839" width="41" style="139" customWidth="1"/>
    <col min="3840" max="3841" width="9.5" style="139" customWidth="1"/>
    <col min="3842" max="3843" width="10.5" style="139" customWidth="1"/>
    <col min="3844" max="3845" width="9.5" style="139" customWidth="1"/>
    <col min="3846" max="3846" width="9" style="139"/>
    <col min="3847" max="3847" width="10.33203125" style="139" customWidth="1"/>
    <col min="3848" max="3849" width="9" style="139"/>
    <col min="3850" max="3853" width="10.33203125" style="139" customWidth="1"/>
    <col min="3854" max="3857" width="10" style="139" customWidth="1"/>
    <col min="3858" max="3858" width="11.33203125" style="139" customWidth="1"/>
    <col min="3859" max="3859" width="10" style="139" customWidth="1"/>
    <col min="3860" max="4094" width="9" style="139"/>
    <col min="4095" max="4095" width="41" style="139" customWidth="1"/>
    <col min="4096" max="4097" width="9.5" style="139" customWidth="1"/>
    <col min="4098" max="4099" width="10.5" style="139" customWidth="1"/>
    <col min="4100" max="4101" width="9.5" style="139" customWidth="1"/>
    <col min="4102" max="4102" width="9" style="139"/>
    <col min="4103" max="4103" width="10.33203125" style="139" customWidth="1"/>
    <col min="4104" max="4105" width="9" style="139"/>
    <col min="4106" max="4109" width="10.33203125" style="139" customWidth="1"/>
    <col min="4110" max="4113" width="10" style="139" customWidth="1"/>
    <col min="4114" max="4114" width="11.33203125" style="139" customWidth="1"/>
    <col min="4115" max="4115" width="10" style="139" customWidth="1"/>
    <col min="4116" max="4350" width="9" style="139"/>
    <col min="4351" max="4351" width="41" style="139" customWidth="1"/>
    <col min="4352" max="4353" width="9.5" style="139" customWidth="1"/>
    <col min="4354" max="4355" width="10.5" style="139" customWidth="1"/>
    <col min="4356" max="4357" width="9.5" style="139" customWidth="1"/>
    <col min="4358" max="4358" width="9" style="139"/>
    <col min="4359" max="4359" width="10.33203125" style="139" customWidth="1"/>
    <col min="4360" max="4361" width="9" style="139"/>
    <col min="4362" max="4365" width="10.33203125" style="139" customWidth="1"/>
    <col min="4366" max="4369" width="10" style="139" customWidth="1"/>
    <col min="4370" max="4370" width="11.33203125" style="139" customWidth="1"/>
    <col min="4371" max="4371" width="10" style="139" customWidth="1"/>
    <col min="4372" max="4606" width="9" style="139"/>
    <col min="4607" max="4607" width="41" style="139" customWidth="1"/>
    <col min="4608" max="4609" width="9.5" style="139" customWidth="1"/>
    <col min="4610" max="4611" width="10.5" style="139" customWidth="1"/>
    <col min="4612" max="4613" width="9.5" style="139" customWidth="1"/>
    <col min="4614" max="4614" width="9" style="139"/>
    <col min="4615" max="4615" width="10.33203125" style="139" customWidth="1"/>
    <col min="4616" max="4617" width="9" style="139"/>
    <col min="4618" max="4621" width="10.33203125" style="139" customWidth="1"/>
    <col min="4622" max="4625" width="10" style="139" customWidth="1"/>
    <col min="4626" max="4626" width="11.33203125" style="139" customWidth="1"/>
    <col min="4627" max="4627" width="10" style="139" customWidth="1"/>
    <col min="4628" max="4862" width="9" style="139"/>
    <col min="4863" max="4863" width="41" style="139" customWidth="1"/>
    <col min="4864" max="4865" width="9.5" style="139" customWidth="1"/>
    <col min="4866" max="4867" width="10.5" style="139" customWidth="1"/>
    <col min="4868" max="4869" width="9.5" style="139" customWidth="1"/>
    <col min="4870" max="4870" width="9" style="139"/>
    <col min="4871" max="4871" width="10.33203125" style="139" customWidth="1"/>
    <col min="4872" max="4873" width="9" style="139"/>
    <col min="4874" max="4877" width="10.33203125" style="139" customWidth="1"/>
    <col min="4878" max="4881" width="10" style="139" customWidth="1"/>
    <col min="4882" max="4882" width="11.33203125" style="139" customWidth="1"/>
    <col min="4883" max="4883" width="10" style="139" customWidth="1"/>
    <col min="4884" max="5118" width="9" style="139"/>
    <col min="5119" max="5119" width="41" style="139" customWidth="1"/>
    <col min="5120" max="5121" width="9.5" style="139" customWidth="1"/>
    <col min="5122" max="5123" width="10.5" style="139" customWidth="1"/>
    <col min="5124" max="5125" width="9.5" style="139" customWidth="1"/>
    <col min="5126" max="5126" width="9" style="139"/>
    <col min="5127" max="5127" width="10.33203125" style="139" customWidth="1"/>
    <col min="5128" max="5129" width="9" style="139"/>
    <col min="5130" max="5133" width="10.33203125" style="139" customWidth="1"/>
    <col min="5134" max="5137" width="10" style="139" customWidth="1"/>
    <col min="5138" max="5138" width="11.33203125" style="139" customWidth="1"/>
    <col min="5139" max="5139" width="10" style="139" customWidth="1"/>
    <col min="5140" max="5374" width="9" style="139"/>
    <col min="5375" max="5375" width="41" style="139" customWidth="1"/>
    <col min="5376" max="5377" width="9.5" style="139" customWidth="1"/>
    <col min="5378" max="5379" width="10.5" style="139" customWidth="1"/>
    <col min="5380" max="5381" width="9.5" style="139" customWidth="1"/>
    <col min="5382" max="5382" width="9" style="139"/>
    <col min="5383" max="5383" width="10.33203125" style="139" customWidth="1"/>
    <col min="5384" max="5385" width="9" style="139"/>
    <col min="5386" max="5389" width="10.33203125" style="139" customWidth="1"/>
    <col min="5390" max="5393" width="10" style="139" customWidth="1"/>
    <col min="5394" max="5394" width="11.33203125" style="139" customWidth="1"/>
    <col min="5395" max="5395" width="10" style="139" customWidth="1"/>
    <col min="5396" max="5630" width="9" style="139"/>
    <col min="5631" max="5631" width="41" style="139" customWidth="1"/>
    <col min="5632" max="5633" width="9.5" style="139" customWidth="1"/>
    <col min="5634" max="5635" width="10.5" style="139" customWidth="1"/>
    <col min="5636" max="5637" width="9.5" style="139" customWidth="1"/>
    <col min="5638" max="5638" width="9" style="139"/>
    <col min="5639" max="5639" width="10.33203125" style="139" customWidth="1"/>
    <col min="5640" max="5641" width="9" style="139"/>
    <col min="5642" max="5645" width="10.33203125" style="139" customWidth="1"/>
    <col min="5646" max="5649" width="10" style="139" customWidth="1"/>
    <col min="5650" max="5650" width="11.33203125" style="139" customWidth="1"/>
    <col min="5651" max="5651" width="10" style="139" customWidth="1"/>
    <col min="5652" max="5886" width="9" style="139"/>
    <col min="5887" max="5887" width="41" style="139" customWidth="1"/>
    <col min="5888" max="5889" width="9.5" style="139" customWidth="1"/>
    <col min="5890" max="5891" width="10.5" style="139" customWidth="1"/>
    <col min="5892" max="5893" width="9.5" style="139" customWidth="1"/>
    <col min="5894" max="5894" width="9" style="139"/>
    <col min="5895" max="5895" width="10.33203125" style="139" customWidth="1"/>
    <col min="5896" max="5897" width="9" style="139"/>
    <col min="5898" max="5901" width="10.33203125" style="139" customWidth="1"/>
    <col min="5902" max="5905" width="10" style="139" customWidth="1"/>
    <col min="5906" max="5906" width="11.33203125" style="139" customWidth="1"/>
    <col min="5907" max="5907" width="10" style="139" customWidth="1"/>
    <col min="5908" max="6142" width="9" style="139"/>
    <col min="6143" max="6143" width="41" style="139" customWidth="1"/>
    <col min="6144" max="6145" width="9.5" style="139" customWidth="1"/>
    <col min="6146" max="6147" width="10.5" style="139" customWidth="1"/>
    <col min="6148" max="6149" width="9.5" style="139" customWidth="1"/>
    <col min="6150" max="6150" width="9" style="139"/>
    <col min="6151" max="6151" width="10.33203125" style="139" customWidth="1"/>
    <col min="6152" max="6153" width="9" style="139"/>
    <col min="6154" max="6157" width="10.33203125" style="139" customWidth="1"/>
    <col min="6158" max="6161" width="10" style="139" customWidth="1"/>
    <col min="6162" max="6162" width="11.33203125" style="139" customWidth="1"/>
    <col min="6163" max="6163" width="10" style="139" customWidth="1"/>
    <col min="6164" max="6398" width="9" style="139"/>
    <col min="6399" max="6399" width="41" style="139" customWidth="1"/>
    <col min="6400" max="6401" width="9.5" style="139" customWidth="1"/>
    <col min="6402" max="6403" width="10.5" style="139" customWidth="1"/>
    <col min="6404" max="6405" width="9.5" style="139" customWidth="1"/>
    <col min="6406" max="6406" width="9" style="139"/>
    <col min="6407" max="6407" width="10.33203125" style="139" customWidth="1"/>
    <col min="6408" max="6409" width="9" style="139"/>
    <col min="6410" max="6413" width="10.33203125" style="139" customWidth="1"/>
    <col min="6414" max="6417" width="10" style="139" customWidth="1"/>
    <col min="6418" max="6418" width="11.33203125" style="139" customWidth="1"/>
    <col min="6419" max="6419" width="10" style="139" customWidth="1"/>
    <col min="6420" max="6654" width="9" style="139"/>
    <col min="6655" max="6655" width="41" style="139" customWidth="1"/>
    <col min="6656" max="6657" width="9.5" style="139" customWidth="1"/>
    <col min="6658" max="6659" width="10.5" style="139" customWidth="1"/>
    <col min="6660" max="6661" width="9.5" style="139" customWidth="1"/>
    <col min="6662" max="6662" width="9" style="139"/>
    <col min="6663" max="6663" width="10.33203125" style="139" customWidth="1"/>
    <col min="6664" max="6665" width="9" style="139"/>
    <col min="6666" max="6669" width="10.33203125" style="139" customWidth="1"/>
    <col min="6670" max="6673" width="10" style="139" customWidth="1"/>
    <col min="6674" max="6674" width="11.33203125" style="139" customWidth="1"/>
    <col min="6675" max="6675" width="10" style="139" customWidth="1"/>
    <col min="6676" max="6910" width="9" style="139"/>
    <col min="6911" max="6911" width="41" style="139" customWidth="1"/>
    <col min="6912" max="6913" width="9.5" style="139" customWidth="1"/>
    <col min="6914" max="6915" width="10.5" style="139" customWidth="1"/>
    <col min="6916" max="6917" width="9.5" style="139" customWidth="1"/>
    <col min="6918" max="6918" width="9" style="139"/>
    <col min="6919" max="6919" width="10.33203125" style="139" customWidth="1"/>
    <col min="6920" max="6921" width="9" style="139"/>
    <col min="6922" max="6925" width="10.33203125" style="139" customWidth="1"/>
    <col min="6926" max="6929" width="10" style="139" customWidth="1"/>
    <col min="6930" max="6930" width="11.33203125" style="139" customWidth="1"/>
    <col min="6931" max="6931" width="10" style="139" customWidth="1"/>
    <col min="6932" max="7166" width="9" style="139"/>
    <col min="7167" max="7167" width="41" style="139" customWidth="1"/>
    <col min="7168" max="7169" width="9.5" style="139" customWidth="1"/>
    <col min="7170" max="7171" width="10.5" style="139" customWidth="1"/>
    <col min="7172" max="7173" width="9.5" style="139" customWidth="1"/>
    <col min="7174" max="7174" width="9" style="139"/>
    <col min="7175" max="7175" width="10.33203125" style="139" customWidth="1"/>
    <col min="7176" max="7177" width="9" style="139"/>
    <col min="7178" max="7181" width="10.33203125" style="139" customWidth="1"/>
    <col min="7182" max="7185" width="10" style="139" customWidth="1"/>
    <col min="7186" max="7186" width="11.33203125" style="139" customWidth="1"/>
    <col min="7187" max="7187" width="10" style="139" customWidth="1"/>
    <col min="7188" max="7422" width="9" style="139"/>
    <col min="7423" max="7423" width="41" style="139" customWidth="1"/>
    <col min="7424" max="7425" width="9.5" style="139" customWidth="1"/>
    <col min="7426" max="7427" width="10.5" style="139" customWidth="1"/>
    <col min="7428" max="7429" width="9.5" style="139" customWidth="1"/>
    <col min="7430" max="7430" width="9" style="139"/>
    <col min="7431" max="7431" width="10.33203125" style="139" customWidth="1"/>
    <col min="7432" max="7433" width="9" style="139"/>
    <col min="7434" max="7437" width="10.33203125" style="139" customWidth="1"/>
    <col min="7438" max="7441" width="10" style="139" customWidth="1"/>
    <col min="7442" max="7442" width="11.33203125" style="139" customWidth="1"/>
    <col min="7443" max="7443" width="10" style="139" customWidth="1"/>
    <col min="7444" max="7678" width="9" style="139"/>
    <col min="7679" max="7679" width="41" style="139" customWidth="1"/>
    <col min="7680" max="7681" width="9.5" style="139" customWidth="1"/>
    <col min="7682" max="7683" width="10.5" style="139" customWidth="1"/>
    <col min="7684" max="7685" width="9.5" style="139" customWidth="1"/>
    <col min="7686" max="7686" width="9" style="139"/>
    <col min="7687" max="7687" width="10.33203125" style="139" customWidth="1"/>
    <col min="7688" max="7689" width="9" style="139"/>
    <col min="7690" max="7693" width="10.33203125" style="139" customWidth="1"/>
    <col min="7694" max="7697" width="10" style="139" customWidth="1"/>
    <col min="7698" max="7698" width="11.33203125" style="139" customWidth="1"/>
    <col min="7699" max="7699" width="10" style="139" customWidth="1"/>
    <col min="7700" max="7934" width="9" style="139"/>
    <col min="7935" max="7935" width="41" style="139" customWidth="1"/>
    <col min="7936" max="7937" width="9.5" style="139" customWidth="1"/>
    <col min="7938" max="7939" width="10.5" style="139" customWidth="1"/>
    <col min="7940" max="7941" width="9.5" style="139" customWidth="1"/>
    <col min="7942" max="7942" width="9" style="139"/>
    <col min="7943" max="7943" width="10.33203125" style="139" customWidth="1"/>
    <col min="7944" max="7945" width="9" style="139"/>
    <col min="7946" max="7949" width="10.33203125" style="139" customWidth="1"/>
    <col min="7950" max="7953" width="10" style="139" customWidth="1"/>
    <col min="7954" max="7954" width="11.33203125" style="139" customWidth="1"/>
    <col min="7955" max="7955" width="10" style="139" customWidth="1"/>
    <col min="7956" max="8190" width="9" style="139"/>
    <col min="8191" max="8191" width="41" style="139" customWidth="1"/>
    <col min="8192" max="8193" width="9.5" style="139" customWidth="1"/>
    <col min="8194" max="8195" width="10.5" style="139" customWidth="1"/>
    <col min="8196" max="8197" width="9.5" style="139" customWidth="1"/>
    <col min="8198" max="8198" width="9" style="139"/>
    <col min="8199" max="8199" width="10.33203125" style="139" customWidth="1"/>
    <col min="8200" max="8201" width="9" style="139"/>
    <col min="8202" max="8205" width="10.33203125" style="139" customWidth="1"/>
    <col min="8206" max="8209" width="10" style="139" customWidth="1"/>
    <col min="8210" max="8210" width="11.33203125" style="139" customWidth="1"/>
    <col min="8211" max="8211" width="10" style="139" customWidth="1"/>
    <col min="8212" max="8446" width="9" style="139"/>
    <col min="8447" max="8447" width="41" style="139" customWidth="1"/>
    <col min="8448" max="8449" width="9.5" style="139" customWidth="1"/>
    <col min="8450" max="8451" width="10.5" style="139" customWidth="1"/>
    <col min="8452" max="8453" width="9.5" style="139" customWidth="1"/>
    <col min="8454" max="8454" width="9" style="139"/>
    <col min="8455" max="8455" width="10.33203125" style="139" customWidth="1"/>
    <col min="8456" max="8457" width="9" style="139"/>
    <col min="8458" max="8461" width="10.33203125" style="139" customWidth="1"/>
    <col min="8462" max="8465" width="10" style="139" customWidth="1"/>
    <col min="8466" max="8466" width="11.33203125" style="139" customWidth="1"/>
    <col min="8467" max="8467" width="10" style="139" customWidth="1"/>
    <col min="8468" max="8702" width="9" style="139"/>
    <col min="8703" max="8703" width="41" style="139" customWidth="1"/>
    <col min="8704" max="8705" width="9.5" style="139" customWidth="1"/>
    <col min="8706" max="8707" width="10.5" style="139" customWidth="1"/>
    <col min="8708" max="8709" width="9.5" style="139" customWidth="1"/>
    <col min="8710" max="8710" width="9" style="139"/>
    <col min="8711" max="8711" width="10.33203125" style="139" customWidth="1"/>
    <col min="8712" max="8713" width="9" style="139"/>
    <col min="8714" max="8717" width="10.33203125" style="139" customWidth="1"/>
    <col min="8718" max="8721" width="10" style="139" customWidth="1"/>
    <col min="8722" max="8722" width="11.33203125" style="139" customWidth="1"/>
    <col min="8723" max="8723" width="10" style="139" customWidth="1"/>
    <col min="8724" max="8958" width="9" style="139"/>
    <col min="8959" max="8959" width="41" style="139" customWidth="1"/>
    <col min="8960" max="8961" width="9.5" style="139" customWidth="1"/>
    <col min="8962" max="8963" width="10.5" style="139" customWidth="1"/>
    <col min="8964" max="8965" width="9.5" style="139" customWidth="1"/>
    <col min="8966" max="8966" width="9" style="139"/>
    <col min="8967" max="8967" width="10.33203125" style="139" customWidth="1"/>
    <col min="8968" max="8969" width="9" style="139"/>
    <col min="8970" max="8973" width="10.33203125" style="139" customWidth="1"/>
    <col min="8974" max="8977" width="10" style="139" customWidth="1"/>
    <col min="8978" max="8978" width="11.33203125" style="139" customWidth="1"/>
    <col min="8979" max="8979" width="10" style="139" customWidth="1"/>
    <col min="8980" max="9214" width="9" style="139"/>
    <col min="9215" max="9215" width="41" style="139" customWidth="1"/>
    <col min="9216" max="9217" width="9.5" style="139" customWidth="1"/>
    <col min="9218" max="9219" width="10.5" style="139" customWidth="1"/>
    <col min="9220" max="9221" width="9.5" style="139" customWidth="1"/>
    <col min="9222" max="9222" width="9" style="139"/>
    <col min="9223" max="9223" width="10.33203125" style="139" customWidth="1"/>
    <col min="9224" max="9225" width="9" style="139"/>
    <col min="9226" max="9229" width="10.33203125" style="139" customWidth="1"/>
    <col min="9230" max="9233" width="10" style="139" customWidth="1"/>
    <col min="9234" max="9234" width="11.33203125" style="139" customWidth="1"/>
    <col min="9235" max="9235" width="10" style="139" customWidth="1"/>
    <col min="9236" max="9470" width="9" style="139"/>
    <col min="9471" max="9471" width="41" style="139" customWidth="1"/>
    <col min="9472" max="9473" width="9.5" style="139" customWidth="1"/>
    <col min="9474" max="9475" width="10.5" style="139" customWidth="1"/>
    <col min="9476" max="9477" width="9.5" style="139" customWidth="1"/>
    <col min="9478" max="9478" width="9" style="139"/>
    <col min="9479" max="9479" width="10.33203125" style="139" customWidth="1"/>
    <col min="9480" max="9481" width="9" style="139"/>
    <col min="9482" max="9485" width="10.33203125" style="139" customWidth="1"/>
    <col min="9486" max="9489" width="10" style="139" customWidth="1"/>
    <col min="9490" max="9490" width="11.33203125" style="139" customWidth="1"/>
    <col min="9491" max="9491" width="10" style="139" customWidth="1"/>
    <col min="9492" max="9726" width="9" style="139"/>
    <col min="9727" max="9727" width="41" style="139" customWidth="1"/>
    <col min="9728" max="9729" width="9.5" style="139" customWidth="1"/>
    <col min="9730" max="9731" width="10.5" style="139" customWidth="1"/>
    <col min="9732" max="9733" width="9.5" style="139" customWidth="1"/>
    <col min="9734" max="9734" width="9" style="139"/>
    <col min="9735" max="9735" width="10.33203125" style="139" customWidth="1"/>
    <col min="9736" max="9737" width="9" style="139"/>
    <col min="9738" max="9741" width="10.33203125" style="139" customWidth="1"/>
    <col min="9742" max="9745" width="10" style="139" customWidth="1"/>
    <col min="9746" max="9746" width="11.33203125" style="139" customWidth="1"/>
    <col min="9747" max="9747" width="10" style="139" customWidth="1"/>
    <col min="9748" max="9982" width="9" style="139"/>
    <col min="9983" max="9983" width="41" style="139" customWidth="1"/>
    <col min="9984" max="9985" width="9.5" style="139" customWidth="1"/>
    <col min="9986" max="9987" width="10.5" style="139" customWidth="1"/>
    <col min="9988" max="9989" width="9.5" style="139" customWidth="1"/>
    <col min="9990" max="9990" width="9" style="139"/>
    <col min="9991" max="9991" width="10.33203125" style="139" customWidth="1"/>
    <col min="9992" max="9993" width="9" style="139"/>
    <col min="9994" max="9997" width="10.33203125" style="139" customWidth="1"/>
    <col min="9998" max="10001" width="10" style="139" customWidth="1"/>
    <col min="10002" max="10002" width="11.33203125" style="139" customWidth="1"/>
    <col min="10003" max="10003" width="10" style="139" customWidth="1"/>
    <col min="10004" max="10238" width="9" style="139"/>
    <col min="10239" max="10239" width="41" style="139" customWidth="1"/>
    <col min="10240" max="10241" width="9.5" style="139" customWidth="1"/>
    <col min="10242" max="10243" width="10.5" style="139" customWidth="1"/>
    <col min="10244" max="10245" width="9.5" style="139" customWidth="1"/>
    <col min="10246" max="10246" width="9" style="139"/>
    <col min="10247" max="10247" width="10.33203125" style="139" customWidth="1"/>
    <col min="10248" max="10249" width="9" style="139"/>
    <col min="10250" max="10253" width="10.33203125" style="139" customWidth="1"/>
    <col min="10254" max="10257" width="10" style="139" customWidth="1"/>
    <col min="10258" max="10258" width="11.33203125" style="139" customWidth="1"/>
    <col min="10259" max="10259" width="10" style="139" customWidth="1"/>
    <col min="10260" max="10494" width="9" style="139"/>
    <col min="10495" max="10495" width="41" style="139" customWidth="1"/>
    <col min="10496" max="10497" width="9.5" style="139" customWidth="1"/>
    <col min="10498" max="10499" width="10.5" style="139" customWidth="1"/>
    <col min="10500" max="10501" width="9.5" style="139" customWidth="1"/>
    <col min="10502" max="10502" width="9" style="139"/>
    <col min="10503" max="10503" width="10.33203125" style="139" customWidth="1"/>
    <col min="10504" max="10505" width="9" style="139"/>
    <col min="10506" max="10509" width="10.33203125" style="139" customWidth="1"/>
    <col min="10510" max="10513" width="10" style="139" customWidth="1"/>
    <col min="10514" max="10514" width="11.33203125" style="139" customWidth="1"/>
    <col min="10515" max="10515" width="10" style="139" customWidth="1"/>
    <col min="10516" max="10750" width="9" style="139"/>
    <col min="10751" max="10751" width="41" style="139" customWidth="1"/>
    <col min="10752" max="10753" width="9.5" style="139" customWidth="1"/>
    <col min="10754" max="10755" width="10.5" style="139" customWidth="1"/>
    <col min="10756" max="10757" width="9.5" style="139" customWidth="1"/>
    <col min="10758" max="10758" width="9" style="139"/>
    <col min="10759" max="10759" width="10.33203125" style="139" customWidth="1"/>
    <col min="10760" max="10761" width="9" style="139"/>
    <col min="10762" max="10765" width="10.33203125" style="139" customWidth="1"/>
    <col min="10766" max="10769" width="10" style="139" customWidth="1"/>
    <col min="10770" max="10770" width="11.33203125" style="139" customWidth="1"/>
    <col min="10771" max="10771" width="10" style="139" customWidth="1"/>
    <col min="10772" max="11006" width="9" style="139"/>
    <col min="11007" max="11007" width="41" style="139" customWidth="1"/>
    <col min="11008" max="11009" width="9.5" style="139" customWidth="1"/>
    <col min="11010" max="11011" width="10.5" style="139" customWidth="1"/>
    <col min="11012" max="11013" width="9.5" style="139" customWidth="1"/>
    <col min="11014" max="11014" width="9" style="139"/>
    <col min="11015" max="11015" width="10.33203125" style="139" customWidth="1"/>
    <col min="11016" max="11017" width="9" style="139"/>
    <col min="11018" max="11021" width="10.33203125" style="139" customWidth="1"/>
    <col min="11022" max="11025" width="10" style="139" customWidth="1"/>
    <col min="11026" max="11026" width="11.33203125" style="139" customWidth="1"/>
    <col min="11027" max="11027" width="10" style="139" customWidth="1"/>
    <col min="11028" max="11262" width="9" style="139"/>
    <col min="11263" max="11263" width="41" style="139" customWidth="1"/>
    <col min="11264" max="11265" width="9.5" style="139" customWidth="1"/>
    <col min="11266" max="11267" width="10.5" style="139" customWidth="1"/>
    <col min="11268" max="11269" width="9.5" style="139" customWidth="1"/>
    <col min="11270" max="11270" width="9" style="139"/>
    <col min="11271" max="11271" width="10.33203125" style="139" customWidth="1"/>
    <col min="11272" max="11273" width="9" style="139"/>
    <col min="11274" max="11277" width="10.33203125" style="139" customWidth="1"/>
    <col min="11278" max="11281" width="10" style="139" customWidth="1"/>
    <col min="11282" max="11282" width="11.33203125" style="139" customWidth="1"/>
    <col min="11283" max="11283" width="10" style="139" customWidth="1"/>
    <col min="11284" max="11518" width="9" style="139"/>
    <col min="11519" max="11519" width="41" style="139" customWidth="1"/>
    <col min="11520" max="11521" width="9.5" style="139" customWidth="1"/>
    <col min="11522" max="11523" width="10.5" style="139" customWidth="1"/>
    <col min="11524" max="11525" width="9.5" style="139" customWidth="1"/>
    <col min="11526" max="11526" width="9" style="139"/>
    <col min="11527" max="11527" width="10.33203125" style="139" customWidth="1"/>
    <col min="11528" max="11529" width="9" style="139"/>
    <col min="11530" max="11533" width="10.33203125" style="139" customWidth="1"/>
    <col min="11534" max="11537" width="10" style="139" customWidth="1"/>
    <col min="11538" max="11538" width="11.33203125" style="139" customWidth="1"/>
    <col min="11539" max="11539" width="10" style="139" customWidth="1"/>
    <col min="11540" max="11774" width="9" style="139"/>
    <col min="11775" max="11775" width="41" style="139" customWidth="1"/>
    <col min="11776" max="11777" width="9.5" style="139" customWidth="1"/>
    <col min="11778" max="11779" width="10.5" style="139" customWidth="1"/>
    <col min="11780" max="11781" width="9.5" style="139" customWidth="1"/>
    <col min="11782" max="11782" width="9" style="139"/>
    <col min="11783" max="11783" width="10.33203125" style="139" customWidth="1"/>
    <col min="11784" max="11785" width="9" style="139"/>
    <col min="11786" max="11789" width="10.33203125" style="139" customWidth="1"/>
    <col min="11790" max="11793" width="10" style="139" customWidth="1"/>
    <col min="11794" max="11794" width="11.33203125" style="139" customWidth="1"/>
    <col min="11795" max="11795" width="10" style="139" customWidth="1"/>
    <col min="11796" max="12030" width="9" style="139"/>
    <col min="12031" max="12031" width="41" style="139" customWidth="1"/>
    <col min="12032" max="12033" width="9.5" style="139" customWidth="1"/>
    <col min="12034" max="12035" width="10.5" style="139" customWidth="1"/>
    <col min="12036" max="12037" width="9.5" style="139" customWidth="1"/>
    <col min="12038" max="12038" width="9" style="139"/>
    <col min="12039" max="12039" width="10.33203125" style="139" customWidth="1"/>
    <col min="12040" max="12041" width="9" style="139"/>
    <col min="12042" max="12045" width="10.33203125" style="139" customWidth="1"/>
    <col min="12046" max="12049" width="10" style="139" customWidth="1"/>
    <col min="12050" max="12050" width="11.33203125" style="139" customWidth="1"/>
    <col min="12051" max="12051" width="10" style="139" customWidth="1"/>
    <col min="12052" max="12286" width="9" style="139"/>
    <col min="12287" max="12287" width="41" style="139" customWidth="1"/>
    <col min="12288" max="12289" width="9.5" style="139" customWidth="1"/>
    <col min="12290" max="12291" width="10.5" style="139" customWidth="1"/>
    <col min="12292" max="12293" width="9.5" style="139" customWidth="1"/>
    <col min="12294" max="12294" width="9" style="139"/>
    <col min="12295" max="12295" width="10.33203125" style="139" customWidth="1"/>
    <col min="12296" max="12297" width="9" style="139"/>
    <col min="12298" max="12301" width="10.33203125" style="139" customWidth="1"/>
    <col min="12302" max="12305" width="10" style="139" customWidth="1"/>
    <col min="12306" max="12306" width="11.33203125" style="139" customWidth="1"/>
    <col min="12307" max="12307" width="10" style="139" customWidth="1"/>
    <col min="12308" max="12542" width="9" style="139"/>
    <col min="12543" max="12543" width="41" style="139" customWidth="1"/>
    <col min="12544" max="12545" width="9.5" style="139" customWidth="1"/>
    <col min="12546" max="12547" width="10.5" style="139" customWidth="1"/>
    <col min="12548" max="12549" width="9.5" style="139" customWidth="1"/>
    <col min="12550" max="12550" width="9" style="139"/>
    <col min="12551" max="12551" width="10.33203125" style="139" customWidth="1"/>
    <col min="12552" max="12553" width="9" style="139"/>
    <col min="12554" max="12557" width="10.33203125" style="139" customWidth="1"/>
    <col min="12558" max="12561" width="10" style="139" customWidth="1"/>
    <col min="12562" max="12562" width="11.33203125" style="139" customWidth="1"/>
    <col min="12563" max="12563" width="10" style="139" customWidth="1"/>
    <col min="12564" max="12798" width="9" style="139"/>
    <col min="12799" max="12799" width="41" style="139" customWidth="1"/>
    <col min="12800" max="12801" width="9.5" style="139" customWidth="1"/>
    <col min="12802" max="12803" width="10.5" style="139" customWidth="1"/>
    <col min="12804" max="12805" width="9.5" style="139" customWidth="1"/>
    <col min="12806" max="12806" width="9" style="139"/>
    <col min="12807" max="12807" width="10.33203125" style="139" customWidth="1"/>
    <col min="12808" max="12809" width="9" style="139"/>
    <col min="12810" max="12813" width="10.33203125" style="139" customWidth="1"/>
    <col min="12814" max="12817" width="10" style="139" customWidth="1"/>
    <col min="12818" max="12818" width="11.33203125" style="139" customWidth="1"/>
    <col min="12819" max="12819" width="10" style="139" customWidth="1"/>
    <col min="12820" max="13054" width="9" style="139"/>
    <col min="13055" max="13055" width="41" style="139" customWidth="1"/>
    <col min="13056" max="13057" width="9.5" style="139" customWidth="1"/>
    <col min="13058" max="13059" width="10.5" style="139" customWidth="1"/>
    <col min="13060" max="13061" width="9.5" style="139" customWidth="1"/>
    <col min="13062" max="13062" width="9" style="139"/>
    <col min="13063" max="13063" width="10.33203125" style="139" customWidth="1"/>
    <col min="13064" max="13065" width="9" style="139"/>
    <col min="13066" max="13069" width="10.33203125" style="139" customWidth="1"/>
    <col min="13070" max="13073" width="10" style="139" customWidth="1"/>
    <col min="13074" max="13074" width="11.33203125" style="139" customWidth="1"/>
    <col min="13075" max="13075" width="10" style="139" customWidth="1"/>
    <col min="13076" max="13310" width="9" style="139"/>
    <col min="13311" max="13311" width="41" style="139" customWidth="1"/>
    <col min="13312" max="13313" width="9.5" style="139" customWidth="1"/>
    <col min="13314" max="13315" width="10.5" style="139" customWidth="1"/>
    <col min="13316" max="13317" width="9.5" style="139" customWidth="1"/>
    <col min="13318" max="13318" width="9" style="139"/>
    <col min="13319" max="13319" width="10.33203125" style="139" customWidth="1"/>
    <col min="13320" max="13321" width="9" style="139"/>
    <col min="13322" max="13325" width="10.33203125" style="139" customWidth="1"/>
    <col min="13326" max="13329" width="10" style="139" customWidth="1"/>
    <col min="13330" max="13330" width="11.33203125" style="139" customWidth="1"/>
    <col min="13331" max="13331" width="10" style="139" customWidth="1"/>
    <col min="13332" max="13566" width="9" style="139"/>
    <col min="13567" max="13567" width="41" style="139" customWidth="1"/>
    <col min="13568" max="13569" width="9.5" style="139" customWidth="1"/>
    <col min="13570" max="13571" width="10.5" style="139" customWidth="1"/>
    <col min="13572" max="13573" width="9.5" style="139" customWidth="1"/>
    <col min="13574" max="13574" width="9" style="139"/>
    <col min="13575" max="13575" width="10.33203125" style="139" customWidth="1"/>
    <col min="13576" max="13577" width="9" style="139"/>
    <col min="13578" max="13581" width="10.33203125" style="139" customWidth="1"/>
    <col min="13582" max="13585" width="10" style="139" customWidth="1"/>
    <col min="13586" max="13586" width="11.33203125" style="139" customWidth="1"/>
    <col min="13587" max="13587" width="10" style="139" customWidth="1"/>
    <col min="13588" max="13822" width="9" style="139"/>
    <col min="13823" max="13823" width="41" style="139" customWidth="1"/>
    <col min="13824" max="13825" width="9.5" style="139" customWidth="1"/>
    <col min="13826" max="13827" width="10.5" style="139" customWidth="1"/>
    <col min="13828" max="13829" width="9.5" style="139" customWidth="1"/>
    <col min="13830" max="13830" width="9" style="139"/>
    <col min="13831" max="13831" width="10.33203125" style="139" customWidth="1"/>
    <col min="13832" max="13833" width="9" style="139"/>
    <col min="13834" max="13837" width="10.33203125" style="139" customWidth="1"/>
    <col min="13838" max="13841" width="10" style="139" customWidth="1"/>
    <col min="13842" max="13842" width="11.33203125" style="139" customWidth="1"/>
    <col min="13843" max="13843" width="10" style="139" customWidth="1"/>
    <col min="13844" max="14078" width="9" style="139"/>
    <col min="14079" max="14079" width="41" style="139" customWidth="1"/>
    <col min="14080" max="14081" width="9.5" style="139" customWidth="1"/>
    <col min="14082" max="14083" width="10.5" style="139" customWidth="1"/>
    <col min="14084" max="14085" width="9.5" style="139" customWidth="1"/>
    <col min="14086" max="14086" width="9" style="139"/>
    <col min="14087" max="14087" width="10.33203125" style="139" customWidth="1"/>
    <col min="14088" max="14089" width="9" style="139"/>
    <col min="14090" max="14093" width="10.33203125" style="139" customWidth="1"/>
    <col min="14094" max="14097" width="10" style="139" customWidth="1"/>
    <col min="14098" max="14098" width="11.33203125" style="139" customWidth="1"/>
    <col min="14099" max="14099" width="10" style="139" customWidth="1"/>
    <col min="14100" max="14334" width="9" style="139"/>
    <col min="14335" max="14335" width="41" style="139" customWidth="1"/>
    <col min="14336" max="14337" width="9.5" style="139" customWidth="1"/>
    <col min="14338" max="14339" width="10.5" style="139" customWidth="1"/>
    <col min="14340" max="14341" width="9.5" style="139" customWidth="1"/>
    <col min="14342" max="14342" width="9" style="139"/>
    <col min="14343" max="14343" width="10.33203125" style="139" customWidth="1"/>
    <col min="14344" max="14345" width="9" style="139"/>
    <col min="14346" max="14349" width="10.33203125" style="139" customWidth="1"/>
    <col min="14350" max="14353" width="10" style="139" customWidth="1"/>
    <col min="14354" max="14354" width="11.33203125" style="139" customWidth="1"/>
    <col min="14355" max="14355" width="10" style="139" customWidth="1"/>
    <col min="14356" max="14590" width="9" style="139"/>
    <col min="14591" max="14591" width="41" style="139" customWidth="1"/>
    <col min="14592" max="14593" width="9.5" style="139" customWidth="1"/>
    <col min="14594" max="14595" width="10.5" style="139" customWidth="1"/>
    <col min="14596" max="14597" width="9.5" style="139" customWidth="1"/>
    <col min="14598" max="14598" width="9" style="139"/>
    <col min="14599" max="14599" width="10.33203125" style="139" customWidth="1"/>
    <col min="14600" max="14601" width="9" style="139"/>
    <col min="14602" max="14605" width="10.33203125" style="139" customWidth="1"/>
    <col min="14606" max="14609" width="10" style="139" customWidth="1"/>
    <col min="14610" max="14610" width="11.33203125" style="139" customWidth="1"/>
    <col min="14611" max="14611" width="10" style="139" customWidth="1"/>
    <col min="14612" max="14846" width="9" style="139"/>
    <col min="14847" max="14847" width="41" style="139" customWidth="1"/>
    <col min="14848" max="14849" width="9.5" style="139" customWidth="1"/>
    <col min="14850" max="14851" width="10.5" style="139" customWidth="1"/>
    <col min="14852" max="14853" width="9.5" style="139" customWidth="1"/>
    <col min="14854" max="14854" width="9" style="139"/>
    <col min="14855" max="14855" width="10.33203125" style="139" customWidth="1"/>
    <col min="14856" max="14857" width="9" style="139"/>
    <col min="14858" max="14861" width="10.33203125" style="139" customWidth="1"/>
    <col min="14862" max="14865" width="10" style="139" customWidth="1"/>
    <col min="14866" max="14866" width="11.33203125" style="139" customWidth="1"/>
    <col min="14867" max="14867" width="10" style="139" customWidth="1"/>
    <col min="14868" max="15102" width="9" style="139"/>
    <col min="15103" max="15103" width="41" style="139" customWidth="1"/>
    <col min="15104" max="15105" width="9.5" style="139" customWidth="1"/>
    <col min="15106" max="15107" width="10.5" style="139" customWidth="1"/>
    <col min="15108" max="15109" width="9.5" style="139" customWidth="1"/>
    <col min="15110" max="15110" width="9" style="139"/>
    <col min="15111" max="15111" width="10.33203125" style="139" customWidth="1"/>
    <col min="15112" max="15113" width="9" style="139"/>
    <col min="15114" max="15117" width="10.33203125" style="139" customWidth="1"/>
    <col min="15118" max="15121" width="10" style="139" customWidth="1"/>
    <col min="15122" max="15122" width="11.33203125" style="139" customWidth="1"/>
    <col min="15123" max="15123" width="10" style="139" customWidth="1"/>
    <col min="15124" max="15358" width="9" style="139"/>
    <col min="15359" max="15359" width="41" style="139" customWidth="1"/>
    <col min="15360" max="15361" width="9.5" style="139" customWidth="1"/>
    <col min="15362" max="15363" width="10.5" style="139" customWidth="1"/>
    <col min="15364" max="15365" width="9.5" style="139" customWidth="1"/>
    <col min="15366" max="15366" width="9" style="139"/>
    <col min="15367" max="15367" width="10.33203125" style="139" customWidth="1"/>
    <col min="15368" max="15369" width="9" style="139"/>
    <col min="15370" max="15373" width="10.33203125" style="139" customWidth="1"/>
    <col min="15374" max="15377" width="10" style="139" customWidth="1"/>
    <col min="15378" max="15378" width="11.33203125" style="139" customWidth="1"/>
    <col min="15379" max="15379" width="10" style="139" customWidth="1"/>
    <col min="15380" max="15614" width="9" style="139"/>
    <col min="15615" max="15615" width="41" style="139" customWidth="1"/>
    <col min="15616" max="15617" width="9.5" style="139" customWidth="1"/>
    <col min="15618" max="15619" width="10.5" style="139" customWidth="1"/>
    <col min="15620" max="15621" width="9.5" style="139" customWidth="1"/>
    <col min="15622" max="15622" width="9" style="139"/>
    <col min="15623" max="15623" width="10.33203125" style="139" customWidth="1"/>
    <col min="15624" max="15625" width="9" style="139"/>
    <col min="15626" max="15629" width="10.33203125" style="139" customWidth="1"/>
    <col min="15630" max="15633" width="10" style="139" customWidth="1"/>
    <col min="15634" max="15634" width="11.33203125" style="139" customWidth="1"/>
    <col min="15635" max="15635" width="10" style="139" customWidth="1"/>
    <col min="15636" max="15870" width="9" style="139"/>
    <col min="15871" max="15871" width="41" style="139" customWidth="1"/>
    <col min="15872" max="15873" width="9.5" style="139" customWidth="1"/>
    <col min="15874" max="15875" width="10.5" style="139" customWidth="1"/>
    <col min="15876" max="15877" width="9.5" style="139" customWidth="1"/>
    <col min="15878" max="15878" width="9" style="139"/>
    <col min="15879" max="15879" width="10.33203125" style="139" customWidth="1"/>
    <col min="15880" max="15881" width="9" style="139"/>
    <col min="15882" max="15885" width="10.33203125" style="139" customWidth="1"/>
    <col min="15886" max="15889" width="10" style="139" customWidth="1"/>
    <col min="15890" max="15890" width="11.33203125" style="139" customWidth="1"/>
    <col min="15891" max="15891" width="10" style="139" customWidth="1"/>
    <col min="15892" max="16126" width="9" style="139"/>
    <col min="16127" max="16127" width="41" style="139" customWidth="1"/>
    <col min="16128" max="16129" width="9.5" style="139" customWidth="1"/>
    <col min="16130" max="16131" width="10.5" style="139" customWidth="1"/>
    <col min="16132" max="16133" width="9.5" style="139" customWidth="1"/>
    <col min="16134" max="16134" width="9" style="139"/>
    <col min="16135" max="16135" width="10.33203125" style="139" customWidth="1"/>
    <col min="16136" max="16137" width="9" style="139"/>
    <col min="16138" max="16141" width="10.33203125" style="139" customWidth="1"/>
    <col min="16142" max="16145" width="10" style="139" customWidth="1"/>
    <col min="16146" max="16146" width="11.33203125" style="139" customWidth="1"/>
    <col min="16147" max="16147" width="10" style="139" customWidth="1"/>
    <col min="16148" max="16384" width="9" style="139"/>
  </cols>
  <sheetData>
    <row r="1" spans="1:40" ht="59.25" customHeight="1" thickBot="1">
      <c r="A1" s="458" t="s">
        <v>270</v>
      </c>
      <c r="B1" s="459" t="s">
        <v>271</v>
      </c>
      <c r="C1" s="460"/>
      <c r="D1" s="461" t="s">
        <v>272</v>
      </c>
      <c r="E1" s="462"/>
      <c r="F1" s="463" t="s">
        <v>273</v>
      </c>
      <c r="G1" s="462"/>
      <c r="H1" s="463" t="s">
        <v>274</v>
      </c>
      <c r="I1" s="464"/>
      <c r="J1" s="465" t="s">
        <v>275</v>
      </c>
      <c r="K1" s="466"/>
      <c r="L1" s="467" t="s">
        <v>276</v>
      </c>
      <c r="M1" s="468"/>
      <c r="N1" s="467" t="s">
        <v>277</v>
      </c>
      <c r="O1" s="469"/>
      <c r="P1" s="467" t="s">
        <v>278</v>
      </c>
      <c r="Q1" s="468"/>
      <c r="R1" s="463" t="s">
        <v>279</v>
      </c>
      <c r="S1" s="462"/>
      <c r="T1" s="470" t="s">
        <v>280</v>
      </c>
    </row>
    <row r="2" spans="1:40" ht="15.75" customHeight="1">
      <c r="A2" s="471" t="s">
        <v>281</v>
      </c>
      <c r="B2" s="472">
        <v>2022</v>
      </c>
      <c r="C2" s="473" t="s">
        <v>282</v>
      </c>
      <c r="D2" s="474">
        <v>2022</v>
      </c>
      <c r="E2" s="475" t="s">
        <v>282</v>
      </c>
      <c r="F2" s="476">
        <v>2022</v>
      </c>
      <c r="G2" s="477" t="s">
        <v>282</v>
      </c>
      <c r="H2" s="476">
        <v>2022</v>
      </c>
      <c r="I2" s="477" t="s">
        <v>282</v>
      </c>
      <c r="J2" s="474">
        <v>2022</v>
      </c>
      <c r="K2" s="478" t="s">
        <v>282</v>
      </c>
      <c r="L2" s="479">
        <v>2022</v>
      </c>
      <c r="M2" s="480" t="s">
        <v>282</v>
      </c>
      <c r="N2" s="474">
        <v>2022</v>
      </c>
      <c r="O2" s="481" t="s">
        <v>282</v>
      </c>
      <c r="P2" s="474">
        <v>2022</v>
      </c>
      <c r="Q2" s="482" t="s">
        <v>282</v>
      </c>
      <c r="R2" s="483">
        <v>2022</v>
      </c>
      <c r="S2" s="484" t="s">
        <v>282</v>
      </c>
      <c r="T2" s="485"/>
    </row>
    <row r="3" spans="1:40" s="494" customFormat="1">
      <c r="A3" s="486" t="s">
        <v>283</v>
      </c>
      <c r="B3" s="487"/>
      <c r="C3" s="488"/>
      <c r="D3" s="487"/>
      <c r="E3" s="489"/>
      <c r="F3" s="490"/>
      <c r="G3" s="488"/>
      <c r="H3" s="490"/>
      <c r="I3" s="488"/>
      <c r="J3" s="487"/>
      <c r="K3" s="491"/>
      <c r="L3" s="490"/>
      <c r="M3" s="488"/>
      <c r="N3" s="487"/>
      <c r="O3" s="492"/>
      <c r="P3" s="490"/>
      <c r="Q3" s="488"/>
      <c r="R3" s="490"/>
      <c r="S3" s="493"/>
      <c r="T3" s="485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</row>
    <row r="4" spans="1:40" ht="15">
      <c r="A4" s="495" t="s">
        <v>284</v>
      </c>
      <c r="B4" s="496"/>
      <c r="C4" s="497">
        <v>15000</v>
      </c>
      <c r="D4" s="498"/>
      <c r="E4" s="499"/>
      <c r="F4" s="500"/>
      <c r="G4" s="501"/>
      <c r="H4" s="500"/>
      <c r="I4" s="501"/>
      <c r="J4" s="498"/>
      <c r="K4" s="502"/>
      <c r="L4" s="503"/>
      <c r="M4" s="504"/>
      <c r="N4" s="498"/>
      <c r="O4" s="502"/>
      <c r="P4" s="500"/>
      <c r="Q4" s="501"/>
      <c r="R4" s="500">
        <f>B4+D4+F4+H4+J4+L4+N4</f>
        <v>0</v>
      </c>
      <c r="S4" s="501">
        <f>C4+E4+G4+I4+K4+M4+O4</f>
        <v>15000</v>
      </c>
      <c r="T4" s="505">
        <f>S4-R4</f>
        <v>15000</v>
      </c>
    </row>
    <row r="5" spans="1:40" ht="15">
      <c r="A5" s="495" t="s">
        <v>285</v>
      </c>
      <c r="B5" s="496"/>
      <c r="C5" s="497"/>
      <c r="D5" s="498"/>
      <c r="E5" s="499"/>
      <c r="F5" s="500"/>
      <c r="G5" s="501"/>
      <c r="H5" s="500"/>
      <c r="I5" s="501"/>
      <c r="J5" s="498"/>
      <c r="K5" s="502"/>
      <c r="L5" s="503"/>
      <c r="M5" s="504"/>
      <c r="N5" s="498"/>
      <c r="O5" s="502"/>
      <c r="P5" s="500"/>
      <c r="Q5" s="501"/>
      <c r="R5" s="500">
        <f>B5+D5+F5+H5+J5+L5+N5</f>
        <v>0</v>
      </c>
      <c r="S5" s="501">
        <f>C5+E5+G5+I5+K5+M5+O5</f>
        <v>0</v>
      </c>
      <c r="T5" s="505">
        <f>S5-R5</f>
        <v>0</v>
      </c>
    </row>
    <row r="6" spans="1:40" ht="15">
      <c r="A6" s="495" t="s">
        <v>286</v>
      </c>
      <c r="B6" s="496"/>
      <c r="C6" s="497"/>
      <c r="D6" s="498"/>
      <c r="E6" s="499"/>
      <c r="F6" s="500"/>
      <c r="G6" s="501"/>
      <c r="H6" s="500"/>
      <c r="I6" s="501"/>
      <c r="J6" s="498"/>
      <c r="K6" s="502"/>
      <c r="L6" s="503"/>
      <c r="M6" s="504"/>
      <c r="N6" s="498"/>
      <c r="O6" s="502"/>
      <c r="P6" s="500">
        <v>40000</v>
      </c>
      <c r="Q6" s="501">
        <v>40000</v>
      </c>
      <c r="R6" s="500"/>
      <c r="S6" s="501"/>
      <c r="T6" s="505"/>
    </row>
    <row r="7" spans="1:40" ht="15">
      <c r="A7" s="495" t="s">
        <v>287</v>
      </c>
      <c r="B7" s="496"/>
      <c r="C7" s="497"/>
      <c r="D7" s="498"/>
      <c r="E7" s="499"/>
      <c r="F7" s="500"/>
      <c r="G7" s="501"/>
      <c r="H7" s="500"/>
      <c r="I7" s="501"/>
      <c r="J7" s="498"/>
      <c r="K7" s="502"/>
      <c r="L7" s="503">
        <v>2000</v>
      </c>
      <c r="M7" s="504">
        <v>2000</v>
      </c>
      <c r="N7" s="498"/>
      <c r="O7" s="502"/>
      <c r="P7" s="500"/>
      <c r="Q7" s="501"/>
      <c r="R7" s="500">
        <f t="shared" ref="R7:S45" si="0">B7+D7+F7+H7+J7+L7+N7</f>
        <v>2000</v>
      </c>
      <c r="S7" s="501">
        <f t="shared" si="0"/>
        <v>2000</v>
      </c>
      <c r="T7" s="505">
        <f>S7-R7</f>
        <v>0</v>
      </c>
    </row>
    <row r="8" spans="1:40" ht="15">
      <c r="A8" s="495" t="s">
        <v>288</v>
      </c>
      <c r="B8" s="496"/>
      <c r="C8" s="497"/>
      <c r="D8" s="498"/>
      <c r="E8" s="499"/>
      <c r="F8" s="500"/>
      <c r="G8" s="501"/>
      <c r="H8" s="506"/>
      <c r="I8" s="507"/>
      <c r="J8" s="498"/>
      <c r="K8" s="502"/>
      <c r="L8" s="503">
        <v>700</v>
      </c>
      <c r="M8" s="504">
        <v>0</v>
      </c>
      <c r="N8" s="498"/>
      <c r="O8" s="502"/>
      <c r="P8" s="500"/>
      <c r="Q8" s="501"/>
      <c r="R8" s="500">
        <f t="shared" si="0"/>
        <v>700</v>
      </c>
      <c r="S8" s="501">
        <f t="shared" si="0"/>
        <v>0</v>
      </c>
      <c r="T8" s="505">
        <f>S8-R8</f>
        <v>-700</v>
      </c>
    </row>
    <row r="9" spans="1:40" ht="15">
      <c r="A9" s="495" t="s">
        <v>289</v>
      </c>
      <c r="B9" s="496"/>
      <c r="C9" s="497"/>
      <c r="D9" s="498"/>
      <c r="E9" s="499"/>
      <c r="F9" s="500">
        <v>1000</v>
      </c>
      <c r="G9" s="501">
        <v>500</v>
      </c>
      <c r="H9" s="506"/>
      <c r="I9" s="507"/>
      <c r="J9" s="498"/>
      <c r="K9" s="502"/>
      <c r="L9" s="503"/>
      <c r="M9" s="504"/>
      <c r="N9" s="498"/>
      <c r="O9" s="502"/>
      <c r="P9" s="500"/>
      <c r="Q9" s="501"/>
      <c r="R9" s="500">
        <f t="shared" si="0"/>
        <v>1000</v>
      </c>
      <c r="S9" s="501">
        <f t="shared" si="0"/>
        <v>500</v>
      </c>
      <c r="T9" s="505">
        <f>S9-R9</f>
        <v>-500</v>
      </c>
    </row>
    <row r="10" spans="1:40" ht="15">
      <c r="A10" s="495" t="s">
        <v>290</v>
      </c>
      <c r="B10" s="498"/>
      <c r="C10" s="501"/>
      <c r="D10" s="498"/>
      <c r="E10" s="499"/>
      <c r="F10" s="500"/>
      <c r="G10" s="501"/>
      <c r="H10" s="506"/>
      <c r="I10" s="507"/>
      <c r="J10" s="498"/>
      <c r="K10" s="502"/>
      <c r="L10" s="503"/>
      <c r="M10" s="504"/>
      <c r="N10" s="498"/>
      <c r="O10" s="502"/>
      <c r="P10" s="500"/>
      <c r="Q10" s="501"/>
      <c r="R10" s="500">
        <f t="shared" si="0"/>
        <v>0</v>
      </c>
      <c r="S10" s="501">
        <f t="shared" si="0"/>
        <v>0</v>
      </c>
      <c r="T10" s="505">
        <v>0</v>
      </c>
    </row>
    <row r="11" spans="1:40" ht="15">
      <c r="A11" s="495" t="s">
        <v>291</v>
      </c>
      <c r="B11" s="498"/>
      <c r="C11" s="501"/>
      <c r="D11" s="498"/>
      <c r="E11" s="499"/>
      <c r="F11" s="500"/>
      <c r="G11" s="501"/>
      <c r="H11" s="506">
        <v>500</v>
      </c>
      <c r="I11" s="507">
        <v>500</v>
      </c>
      <c r="J11" s="498"/>
      <c r="K11" s="502"/>
      <c r="L11" s="503"/>
      <c r="M11" s="504"/>
      <c r="N11" s="498"/>
      <c r="O11" s="502"/>
      <c r="P11" s="500"/>
      <c r="Q11" s="501"/>
      <c r="R11" s="500">
        <f t="shared" si="0"/>
        <v>500</v>
      </c>
      <c r="S11" s="501">
        <f t="shared" si="0"/>
        <v>500</v>
      </c>
      <c r="T11" s="505">
        <f t="shared" ref="T11:T40" si="1">S11-R11</f>
        <v>0</v>
      </c>
    </row>
    <row r="12" spans="1:40" ht="15">
      <c r="A12" s="495" t="s">
        <v>292</v>
      </c>
      <c r="B12" s="498">
        <v>6150.95</v>
      </c>
      <c r="C12" s="501">
        <v>200</v>
      </c>
      <c r="D12" s="498">
        <v>90</v>
      </c>
      <c r="E12" s="499">
        <v>90</v>
      </c>
      <c r="F12" s="500">
        <v>0</v>
      </c>
      <c r="G12" s="501"/>
      <c r="H12" s="500"/>
      <c r="I12" s="501"/>
      <c r="J12" s="498">
        <v>930</v>
      </c>
      <c r="K12" s="502">
        <v>1400</v>
      </c>
      <c r="L12" s="503"/>
      <c r="M12" s="504"/>
      <c r="N12" s="498">
        <v>360</v>
      </c>
      <c r="O12" s="502">
        <f>360*5</f>
        <v>1800</v>
      </c>
      <c r="P12" s="500"/>
      <c r="Q12" s="501"/>
      <c r="R12" s="500">
        <f t="shared" si="0"/>
        <v>7530.95</v>
      </c>
      <c r="S12" s="501">
        <f t="shared" si="0"/>
        <v>3490</v>
      </c>
      <c r="T12" s="505">
        <f t="shared" si="1"/>
        <v>-4040.95</v>
      </c>
    </row>
    <row r="13" spans="1:40" ht="15">
      <c r="A13" s="495" t="s">
        <v>293</v>
      </c>
      <c r="B13" s="498">
        <v>384</v>
      </c>
      <c r="C13" s="501">
        <v>100</v>
      </c>
      <c r="D13" s="498">
        <v>100</v>
      </c>
      <c r="E13" s="499">
        <v>50</v>
      </c>
      <c r="F13" s="500"/>
      <c r="G13" s="501"/>
      <c r="H13" s="500"/>
      <c r="I13" s="501"/>
      <c r="J13" s="498">
        <v>100</v>
      </c>
      <c r="K13" s="502">
        <v>200</v>
      </c>
      <c r="L13" s="503"/>
      <c r="M13" s="504"/>
      <c r="N13" s="498">
        <v>50</v>
      </c>
      <c r="O13" s="502">
        <v>250</v>
      </c>
      <c r="P13" s="500"/>
      <c r="Q13" s="501"/>
      <c r="R13" s="500">
        <f t="shared" si="0"/>
        <v>634</v>
      </c>
      <c r="S13" s="501">
        <f t="shared" si="0"/>
        <v>600</v>
      </c>
      <c r="T13" s="505">
        <f t="shared" si="1"/>
        <v>-34</v>
      </c>
    </row>
    <row r="14" spans="1:40" ht="15">
      <c r="A14" s="495" t="s">
        <v>294</v>
      </c>
      <c r="B14" s="498">
        <v>1936</v>
      </c>
      <c r="C14" s="501">
        <v>300</v>
      </c>
      <c r="D14" s="498">
        <v>200</v>
      </c>
      <c r="E14" s="499">
        <v>250</v>
      </c>
      <c r="F14" s="500">
        <v>0</v>
      </c>
      <c r="G14" s="501"/>
      <c r="H14" s="500"/>
      <c r="I14" s="501"/>
      <c r="J14" s="498">
        <v>340</v>
      </c>
      <c r="K14" s="502">
        <v>500</v>
      </c>
      <c r="L14" s="503"/>
      <c r="M14" s="504"/>
      <c r="N14" s="498">
        <v>80</v>
      </c>
      <c r="O14" s="502">
        <f>150*5</f>
        <v>750</v>
      </c>
      <c r="P14" s="500"/>
      <c r="Q14" s="501"/>
      <c r="R14" s="500">
        <f t="shared" si="0"/>
        <v>2556</v>
      </c>
      <c r="S14" s="501">
        <f t="shared" si="0"/>
        <v>1800</v>
      </c>
      <c r="T14" s="505">
        <f t="shared" si="1"/>
        <v>-756</v>
      </c>
    </row>
    <row r="15" spans="1:40" ht="15">
      <c r="A15" s="495" t="s">
        <v>295</v>
      </c>
      <c r="B15" s="498">
        <v>1820</v>
      </c>
      <c r="C15" s="501"/>
      <c r="D15" s="498"/>
      <c r="E15" s="499">
        <v>800</v>
      </c>
      <c r="F15" s="500"/>
      <c r="G15" s="501"/>
      <c r="H15" s="500"/>
      <c r="I15" s="501"/>
      <c r="J15" s="498"/>
      <c r="K15" s="502"/>
      <c r="L15" s="503"/>
      <c r="M15" s="504"/>
      <c r="N15" s="498"/>
      <c r="O15" s="502"/>
      <c r="P15" s="500"/>
      <c r="Q15" s="501"/>
      <c r="R15" s="500">
        <f t="shared" si="0"/>
        <v>1820</v>
      </c>
      <c r="S15" s="501">
        <f t="shared" si="0"/>
        <v>800</v>
      </c>
      <c r="T15" s="505">
        <f t="shared" si="1"/>
        <v>-1020</v>
      </c>
    </row>
    <row r="16" spans="1:40" ht="15">
      <c r="A16" s="495" t="s">
        <v>296</v>
      </c>
      <c r="B16" s="498">
        <v>101</v>
      </c>
      <c r="C16" s="501">
        <v>70</v>
      </c>
      <c r="D16" s="498">
        <v>60</v>
      </c>
      <c r="E16" s="499">
        <v>70</v>
      </c>
      <c r="F16" s="500"/>
      <c r="G16" s="501"/>
      <c r="H16" s="500"/>
      <c r="I16" s="501"/>
      <c r="J16" s="498">
        <v>65</v>
      </c>
      <c r="K16" s="502">
        <v>200</v>
      </c>
      <c r="L16" s="503"/>
      <c r="M16" s="504"/>
      <c r="N16" s="498"/>
      <c r="O16" s="502"/>
      <c r="P16" s="500"/>
      <c r="Q16" s="501"/>
      <c r="R16" s="500">
        <f t="shared" si="0"/>
        <v>226</v>
      </c>
      <c r="S16" s="501">
        <f t="shared" si="0"/>
        <v>340</v>
      </c>
      <c r="T16" s="505">
        <f t="shared" si="1"/>
        <v>114</v>
      </c>
    </row>
    <row r="17" spans="1:20" ht="15">
      <c r="A17" s="495" t="s">
        <v>297</v>
      </c>
      <c r="B17" s="498">
        <v>5932.15</v>
      </c>
      <c r="C17" s="501">
        <v>100</v>
      </c>
      <c r="D17" s="498">
        <v>977.5</v>
      </c>
      <c r="E17" s="499">
        <v>650</v>
      </c>
      <c r="F17" s="500">
        <v>921</v>
      </c>
      <c r="G17" s="501"/>
      <c r="H17" s="500"/>
      <c r="I17" s="501"/>
      <c r="J17" s="498">
        <v>1629</v>
      </c>
      <c r="K17" s="502">
        <v>2629</v>
      </c>
      <c r="L17" s="503"/>
      <c r="M17" s="504"/>
      <c r="N17" s="498">
        <v>650.54999999999995</v>
      </c>
      <c r="O17" s="502">
        <f>900*5</f>
        <v>4500</v>
      </c>
      <c r="P17" s="500"/>
      <c r="Q17" s="501"/>
      <c r="R17" s="500">
        <f t="shared" si="0"/>
        <v>10110.199999999999</v>
      </c>
      <c r="S17" s="501">
        <f t="shared" si="0"/>
        <v>7879</v>
      </c>
      <c r="T17" s="505">
        <f t="shared" si="1"/>
        <v>-2231.1999999999989</v>
      </c>
    </row>
    <row r="18" spans="1:20" ht="15">
      <c r="A18" s="495" t="s">
        <v>298</v>
      </c>
      <c r="B18" s="498">
        <f>1215+355</f>
        <v>1570</v>
      </c>
      <c r="C18" s="501">
        <v>400</v>
      </c>
      <c r="D18" s="498"/>
      <c r="E18" s="499">
        <v>200</v>
      </c>
      <c r="F18" s="500"/>
      <c r="G18" s="501"/>
      <c r="H18" s="500"/>
      <c r="I18" s="501"/>
      <c r="J18" s="498">
        <v>107</v>
      </c>
      <c r="K18" s="502">
        <v>300</v>
      </c>
      <c r="L18" s="503"/>
      <c r="M18" s="504"/>
      <c r="N18" s="498"/>
      <c r="O18" s="502"/>
      <c r="P18" s="500"/>
      <c r="Q18" s="501"/>
      <c r="R18" s="500">
        <f t="shared" si="0"/>
        <v>1677</v>
      </c>
      <c r="S18" s="501">
        <f t="shared" si="0"/>
        <v>900</v>
      </c>
      <c r="T18" s="505">
        <f t="shared" si="1"/>
        <v>-777</v>
      </c>
    </row>
    <row r="19" spans="1:20" ht="15">
      <c r="A19" s="495" t="s">
        <v>299</v>
      </c>
      <c r="B19" s="498">
        <v>3400</v>
      </c>
      <c r="C19" s="501">
        <v>600</v>
      </c>
      <c r="D19" s="498">
        <v>650</v>
      </c>
      <c r="E19" s="499">
        <v>600</v>
      </c>
      <c r="F19" s="500">
        <v>0</v>
      </c>
      <c r="G19" s="501"/>
      <c r="H19" s="500"/>
      <c r="I19" s="501"/>
      <c r="J19" s="498">
        <v>700</v>
      </c>
      <c r="K19" s="502">
        <v>1500</v>
      </c>
      <c r="L19" s="503"/>
      <c r="M19" s="504"/>
      <c r="N19" s="498">
        <v>500</v>
      </c>
      <c r="O19" s="502">
        <f>700*5</f>
        <v>3500</v>
      </c>
      <c r="P19" s="500"/>
      <c r="Q19" s="501"/>
      <c r="R19" s="500">
        <f t="shared" si="0"/>
        <v>5250</v>
      </c>
      <c r="S19" s="501">
        <f t="shared" si="0"/>
        <v>6200</v>
      </c>
      <c r="T19" s="505">
        <f t="shared" si="1"/>
        <v>950</v>
      </c>
    </row>
    <row r="20" spans="1:20" ht="15">
      <c r="A20" s="495" t="s">
        <v>300</v>
      </c>
      <c r="B20" s="498">
        <v>484</v>
      </c>
      <c r="C20" s="501"/>
      <c r="D20" s="498"/>
      <c r="E20" s="499"/>
      <c r="F20" s="500"/>
      <c r="G20" s="501"/>
      <c r="H20" s="500"/>
      <c r="I20" s="501"/>
      <c r="J20" s="498"/>
      <c r="K20" s="502"/>
      <c r="L20" s="503"/>
      <c r="M20" s="504"/>
      <c r="N20" s="498"/>
      <c r="O20" s="502"/>
      <c r="P20" s="500"/>
      <c r="Q20" s="501"/>
      <c r="R20" s="500">
        <f t="shared" si="0"/>
        <v>484</v>
      </c>
      <c r="S20" s="501">
        <f t="shared" si="0"/>
        <v>0</v>
      </c>
      <c r="T20" s="505">
        <f t="shared" si="1"/>
        <v>-484</v>
      </c>
    </row>
    <row r="21" spans="1:20" ht="15">
      <c r="A21" s="495" t="s">
        <v>301</v>
      </c>
      <c r="B21" s="498">
        <v>980</v>
      </c>
      <c r="C21" s="501"/>
      <c r="D21" s="498"/>
      <c r="E21" s="499"/>
      <c r="F21" s="500"/>
      <c r="G21" s="501"/>
      <c r="H21" s="500"/>
      <c r="I21" s="501"/>
      <c r="J21" s="498">
        <v>180</v>
      </c>
      <c r="K21" s="502">
        <v>200</v>
      </c>
      <c r="L21" s="503"/>
      <c r="M21" s="504"/>
      <c r="N21" s="498"/>
      <c r="O21" s="502"/>
      <c r="P21" s="500"/>
      <c r="Q21" s="501"/>
      <c r="R21" s="500">
        <f t="shared" si="0"/>
        <v>1160</v>
      </c>
      <c r="S21" s="501">
        <f t="shared" si="0"/>
        <v>200</v>
      </c>
      <c r="T21" s="505">
        <f t="shared" si="1"/>
        <v>-960</v>
      </c>
    </row>
    <row r="22" spans="1:20" ht="15">
      <c r="A22" s="495" t="s">
        <v>302</v>
      </c>
      <c r="B22" s="498"/>
      <c r="C22" s="501">
        <v>600</v>
      </c>
      <c r="D22" s="498">
        <v>786.5</v>
      </c>
      <c r="E22" s="499"/>
      <c r="F22" s="500"/>
      <c r="G22" s="501"/>
      <c r="H22" s="500"/>
      <c r="I22" s="501"/>
      <c r="J22" s="498"/>
      <c r="K22" s="502"/>
      <c r="L22" s="503"/>
      <c r="M22" s="504"/>
      <c r="N22" s="498">
        <v>350</v>
      </c>
      <c r="O22" s="502">
        <f>700*5</f>
        <v>3500</v>
      </c>
      <c r="P22" s="500"/>
      <c r="Q22" s="501"/>
      <c r="R22" s="500">
        <f t="shared" si="0"/>
        <v>1136.5</v>
      </c>
      <c r="S22" s="501">
        <f t="shared" si="0"/>
        <v>4100</v>
      </c>
      <c r="T22" s="505">
        <f t="shared" si="1"/>
        <v>2963.5</v>
      </c>
    </row>
    <row r="23" spans="1:20" ht="15">
      <c r="A23" s="495" t="s">
        <v>303</v>
      </c>
      <c r="B23" s="498">
        <f>1637+587+95</f>
        <v>2319</v>
      </c>
      <c r="C23" s="501">
        <v>1500</v>
      </c>
      <c r="D23" s="498">
        <v>577</v>
      </c>
      <c r="E23" s="499">
        <v>650</v>
      </c>
      <c r="F23" s="500">
        <v>597.6</v>
      </c>
      <c r="G23" s="501">
        <v>300</v>
      </c>
      <c r="H23" s="500"/>
      <c r="I23" s="501"/>
      <c r="J23" s="498">
        <v>390</v>
      </c>
      <c r="K23" s="502">
        <v>700</v>
      </c>
      <c r="L23" s="503">
        <v>1190</v>
      </c>
      <c r="M23" s="504">
        <v>1190</v>
      </c>
      <c r="N23" s="498">
        <v>355</v>
      </c>
      <c r="O23" s="502">
        <f>350*5</f>
        <v>1750</v>
      </c>
      <c r="P23" s="500"/>
      <c r="Q23" s="501"/>
      <c r="R23" s="500">
        <f t="shared" si="0"/>
        <v>5428.6</v>
      </c>
      <c r="S23" s="501">
        <f t="shared" si="0"/>
        <v>6090</v>
      </c>
      <c r="T23" s="505">
        <f t="shared" si="1"/>
        <v>661.39999999999964</v>
      </c>
    </row>
    <row r="24" spans="1:20" ht="15">
      <c r="A24" s="495" t="s">
        <v>304</v>
      </c>
      <c r="B24" s="498">
        <v>5000</v>
      </c>
      <c r="C24" s="501"/>
      <c r="D24" s="498"/>
      <c r="E24" s="499"/>
      <c r="F24" s="500"/>
      <c r="G24" s="501"/>
      <c r="H24" s="500"/>
      <c r="I24" s="501"/>
      <c r="J24" s="498">
        <v>440</v>
      </c>
      <c r="K24" s="502">
        <v>440</v>
      </c>
      <c r="L24" s="503"/>
      <c r="M24" s="504"/>
      <c r="N24" s="498"/>
      <c r="O24" s="502"/>
      <c r="P24" s="500"/>
      <c r="Q24" s="501"/>
      <c r="R24" s="500">
        <f t="shared" si="0"/>
        <v>5440</v>
      </c>
      <c r="S24" s="501">
        <f t="shared" si="0"/>
        <v>440</v>
      </c>
      <c r="T24" s="505">
        <f t="shared" si="1"/>
        <v>-5000</v>
      </c>
    </row>
    <row r="25" spans="1:20" ht="15">
      <c r="A25" s="495" t="s">
        <v>305</v>
      </c>
      <c r="B25" s="498">
        <f>462+570</f>
        <v>1032</v>
      </c>
      <c r="C25" s="501">
        <v>510</v>
      </c>
      <c r="D25" s="498">
        <v>300</v>
      </c>
      <c r="E25" s="499">
        <v>300</v>
      </c>
      <c r="F25" s="500">
        <v>160</v>
      </c>
      <c r="G25" s="501">
        <v>100</v>
      </c>
      <c r="H25" s="500"/>
      <c r="I25" s="501"/>
      <c r="J25" s="498"/>
      <c r="K25" s="502"/>
      <c r="L25" s="503"/>
      <c r="M25" s="504"/>
      <c r="N25" s="498"/>
      <c r="O25" s="502"/>
      <c r="P25" s="500"/>
      <c r="Q25" s="501"/>
      <c r="R25" s="500">
        <f t="shared" si="0"/>
        <v>1492</v>
      </c>
      <c r="S25" s="501">
        <f t="shared" si="0"/>
        <v>910</v>
      </c>
      <c r="T25" s="505">
        <f t="shared" si="1"/>
        <v>-582</v>
      </c>
    </row>
    <row r="26" spans="1:20" ht="15">
      <c r="A26" s="508" t="s">
        <v>108</v>
      </c>
      <c r="B26" s="498">
        <v>3500</v>
      </c>
      <c r="C26" s="501"/>
      <c r="D26" s="498"/>
      <c r="E26" s="499"/>
      <c r="F26" s="500">
        <v>69</v>
      </c>
      <c r="G26" s="501"/>
      <c r="H26" s="500"/>
      <c r="I26" s="501"/>
      <c r="J26" s="498">
        <v>0</v>
      </c>
      <c r="K26" s="502"/>
      <c r="L26" s="503"/>
      <c r="M26" s="504"/>
      <c r="N26" s="498">
        <v>0</v>
      </c>
      <c r="O26" s="502"/>
      <c r="P26" s="500"/>
      <c r="Q26" s="501"/>
      <c r="R26" s="500">
        <f t="shared" si="0"/>
        <v>3569</v>
      </c>
      <c r="S26" s="501">
        <f t="shared" si="0"/>
        <v>0</v>
      </c>
      <c r="T26" s="505">
        <f t="shared" si="1"/>
        <v>-3569</v>
      </c>
    </row>
    <row r="27" spans="1:20" ht="15">
      <c r="A27" s="495" t="s">
        <v>306</v>
      </c>
      <c r="B27" s="498">
        <v>226</v>
      </c>
      <c r="C27" s="501">
        <v>100</v>
      </c>
      <c r="D27" s="498"/>
      <c r="E27" s="499">
        <v>100</v>
      </c>
      <c r="F27" s="500">
        <v>0</v>
      </c>
      <c r="G27" s="501"/>
      <c r="H27" s="500"/>
      <c r="I27" s="501"/>
      <c r="J27" s="498">
        <v>100</v>
      </c>
      <c r="K27" s="502">
        <v>200</v>
      </c>
      <c r="L27" s="503"/>
      <c r="M27" s="504"/>
      <c r="N27" s="498">
        <v>0</v>
      </c>
      <c r="O27" s="502">
        <f>100*5</f>
        <v>500</v>
      </c>
      <c r="P27" s="500"/>
      <c r="Q27" s="501"/>
      <c r="R27" s="500">
        <f t="shared" si="0"/>
        <v>326</v>
      </c>
      <c r="S27" s="501">
        <f t="shared" si="0"/>
        <v>900</v>
      </c>
      <c r="T27" s="505">
        <f t="shared" si="1"/>
        <v>574</v>
      </c>
    </row>
    <row r="28" spans="1:20" ht="15">
      <c r="A28" s="495" t="s">
        <v>307</v>
      </c>
      <c r="B28" s="498">
        <v>2270.87</v>
      </c>
      <c r="C28" s="501">
        <v>100</v>
      </c>
      <c r="D28" s="498">
        <v>181.5</v>
      </c>
      <c r="E28" s="499">
        <v>100</v>
      </c>
      <c r="F28" s="500">
        <v>788.2</v>
      </c>
      <c r="G28" s="501"/>
      <c r="H28" s="500"/>
      <c r="I28" s="501"/>
      <c r="J28" s="498">
        <f>363+75+42+233</f>
        <v>713</v>
      </c>
      <c r="K28" s="502">
        <v>400</v>
      </c>
      <c r="L28" s="503"/>
      <c r="M28" s="504"/>
      <c r="N28" s="498"/>
      <c r="O28" s="502"/>
      <c r="P28" s="500"/>
      <c r="Q28" s="501"/>
      <c r="R28" s="500">
        <f t="shared" si="0"/>
        <v>3953.5699999999997</v>
      </c>
      <c r="S28" s="501">
        <f t="shared" si="0"/>
        <v>600</v>
      </c>
      <c r="T28" s="505">
        <f t="shared" si="1"/>
        <v>-3353.5699999999997</v>
      </c>
    </row>
    <row r="29" spans="1:20" ht="15">
      <c r="A29" s="495" t="s">
        <v>308</v>
      </c>
      <c r="B29" s="498"/>
      <c r="C29" s="501"/>
      <c r="D29" s="498"/>
      <c r="E29" s="499"/>
      <c r="F29" s="500"/>
      <c r="G29" s="501"/>
      <c r="H29" s="500"/>
      <c r="I29" s="501"/>
      <c r="J29" s="498"/>
      <c r="K29" s="502"/>
      <c r="L29" s="503">
        <v>850</v>
      </c>
      <c r="M29" s="504">
        <v>850</v>
      </c>
      <c r="N29" s="498"/>
      <c r="O29" s="502"/>
      <c r="P29" s="500"/>
      <c r="Q29" s="501"/>
      <c r="R29" s="500">
        <f t="shared" si="0"/>
        <v>850</v>
      </c>
      <c r="S29" s="501">
        <f t="shared" si="0"/>
        <v>850</v>
      </c>
      <c r="T29" s="505">
        <f t="shared" si="1"/>
        <v>0</v>
      </c>
    </row>
    <row r="30" spans="1:20" ht="15">
      <c r="A30" s="495" t="s">
        <v>309</v>
      </c>
      <c r="B30" s="498">
        <v>900</v>
      </c>
      <c r="C30" s="501">
        <v>150</v>
      </c>
      <c r="D30" s="498">
        <v>200</v>
      </c>
      <c r="E30" s="499">
        <v>100</v>
      </c>
      <c r="F30" s="500">
        <v>0</v>
      </c>
      <c r="G30" s="501"/>
      <c r="H30" s="500"/>
      <c r="I30" s="501"/>
      <c r="J30" s="498">
        <v>80</v>
      </c>
      <c r="K30" s="502">
        <v>100</v>
      </c>
      <c r="L30" s="503"/>
      <c r="M30" s="504"/>
      <c r="N30" s="498">
        <v>100</v>
      </c>
      <c r="O30" s="502">
        <f>150*5</f>
        <v>750</v>
      </c>
      <c r="P30" s="500"/>
      <c r="Q30" s="501"/>
      <c r="R30" s="500">
        <f t="shared" si="0"/>
        <v>1280</v>
      </c>
      <c r="S30" s="501">
        <f t="shared" si="0"/>
        <v>1100</v>
      </c>
      <c r="T30" s="505">
        <f t="shared" si="1"/>
        <v>-180</v>
      </c>
    </row>
    <row r="31" spans="1:20" ht="15">
      <c r="A31" s="495" t="s">
        <v>310</v>
      </c>
      <c r="B31" s="498"/>
      <c r="C31" s="501"/>
      <c r="D31" s="498"/>
      <c r="E31" s="499"/>
      <c r="F31" s="500"/>
      <c r="G31" s="501"/>
      <c r="H31" s="500"/>
      <c r="I31" s="501"/>
      <c r="J31" s="498"/>
      <c r="K31" s="502"/>
      <c r="L31" s="503"/>
      <c r="M31" s="504"/>
      <c r="N31" s="498"/>
      <c r="O31" s="502"/>
      <c r="P31" s="500"/>
      <c r="Q31" s="501"/>
      <c r="R31" s="500">
        <f t="shared" si="0"/>
        <v>0</v>
      </c>
      <c r="S31" s="501">
        <f t="shared" si="0"/>
        <v>0</v>
      </c>
      <c r="T31" s="505">
        <f t="shared" si="1"/>
        <v>0</v>
      </c>
    </row>
    <row r="32" spans="1:20" ht="15">
      <c r="A32" s="495" t="s">
        <v>311</v>
      </c>
      <c r="B32" s="498">
        <f>480+954</f>
        <v>1434</v>
      </c>
      <c r="C32" s="501"/>
      <c r="D32" s="498">
        <v>0</v>
      </c>
      <c r="E32" s="499"/>
      <c r="F32" s="500">
        <v>90</v>
      </c>
      <c r="G32" s="501"/>
      <c r="H32" s="500"/>
      <c r="I32" s="501"/>
      <c r="J32" s="498"/>
      <c r="K32" s="502"/>
      <c r="L32" s="503"/>
      <c r="M32" s="504"/>
      <c r="N32" s="498"/>
      <c r="O32" s="502"/>
      <c r="P32" s="500"/>
      <c r="Q32" s="501"/>
      <c r="R32" s="500">
        <f t="shared" si="0"/>
        <v>1524</v>
      </c>
      <c r="S32" s="501">
        <f t="shared" si="0"/>
        <v>0</v>
      </c>
      <c r="T32" s="505">
        <f t="shared" si="1"/>
        <v>-1524</v>
      </c>
    </row>
    <row r="33" spans="1:40" ht="15">
      <c r="A33" s="495" t="s">
        <v>312</v>
      </c>
      <c r="B33" s="498">
        <v>900</v>
      </c>
      <c r="C33" s="501">
        <v>100</v>
      </c>
      <c r="D33" s="498">
        <v>100</v>
      </c>
      <c r="E33" s="499">
        <v>70</v>
      </c>
      <c r="F33" s="500"/>
      <c r="G33" s="501"/>
      <c r="H33" s="500"/>
      <c r="I33" s="501"/>
      <c r="J33" s="498">
        <v>0</v>
      </c>
      <c r="K33" s="502"/>
      <c r="L33" s="503"/>
      <c r="M33" s="504"/>
      <c r="N33" s="498"/>
      <c r="O33" s="502"/>
      <c r="P33" s="500"/>
      <c r="Q33" s="501"/>
      <c r="R33" s="500">
        <f t="shared" si="0"/>
        <v>1000</v>
      </c>
      <c r="S33" s="501">
        <f t="shared" si="0"/>
        <v>170</v>
      </c>
      <c r="T33" s="505">
        <f t="shared" si="1"/>
        <v>-830</v>
      </c>
    </row>
    <row r="34" spans="1:40" ht="15">
      <c r="A34" s="495" t="s">
        <v>313</v>
      </c>
      <c r="B34" s="498">
        <v>200</v>
      </c>
      <c r="C34" s="501">
        <v>100</v>
      </c>
      <c r="D34" s="498">
        <v>0</v>
      </c>
      <c r="E34" s="499">
        <v>100</v>
      </c>
      <c r="F34" s="500"/>
      <c r="G34" s="501"/>
      <c r="H34" s="500"/>
      <c r="I34" s="501"/>
      <c r="J34" s="498"/>
      <c r="K34" s="502"/>
      <c r="L34" s="503"/>
      <c r="M34" s="504"/>
      <c r="N34" s="498"/>
      <c r="O34" s="502"/>
      <c r="P34" s="500"/>
      <c r="Q34" s="501"/>
      <c r="R34" s="500">
        <f t="shared" si="0"/>
        <v>200</v>
      </c>
      <c r="S34" s="501">
        <f t="shared" si="0"/>
        <v>200</v>
      </c>
      <c r="T34" s="505">
        <f t="shared" si="1"/>
        <v>0</v>
      </c>
    </row>
    <row r="35" spans="1:40" ht="15">
      <c r="A35" s="495" t="s">
        <v>314</v>
      </c>
      <c r="B35" s="498">
        <v>5435.32</v>
      </c>
      <c r="C35" s="501">
        <v>150</v>
      </c>
      <c r="D35" s="498">
        <v>400</v>
      </c>
      <c r="E35" s="499">
        <v>150</v>
      </c>
      <c r="F35" s="500">
        <v>810</v>
      </c>
      <c r="G35" s="501"/>
      <c r="H35" s="500"/>
      <c r="I35" s="501"/>
      <c r="J35" s="498">
        <v>500</v>
      </c>
      <c r="K35" s="502">
        <v>500</v>
      </c>
      <c r="L35" s="503"/>
      <c r="M35" s="504"/>
      <c r="N35" s="498">
        <v>300</v>
      </c>
      <c r="O35" s="502">
        <f>300*5</f>
        <v>1500</v>
      </c>
      <c r="P35" s="500"/>
      <c r="Q35" s="501"/>
      <c r="R35" s="500">
        <f t="shared" si="0"/>
        <v>7445.32</v>
      </c>
      <c r="S35" s="501">
        <f t="shared" si="0"/>
        <v>2300</v>
      </c>
      <c r="T35" s="505">
        <f t="shared" si="1"/>
        <v>-5145.32</v>
      </c>
    </row>
    <row r="36" spans="1:40" ht="15">
      <c r="A36" s="495" t="s">
        <v>315</v>
      </c>
      <c r="B36" s="498">
        <v>2422</v>
      </c>
      <c r="C36" s="501"/>
      <c r="D36" s="498"/>
      <c r="E36" s="499"/>
      <c r="F36" s="500"/>
      <c r="G36" s="501"/>
      <c r="H36" s="500"/>
      <c r="I36" s="501"/>
      <c r="J36" s="498"/>
      <c r="K36" s="502"/>
      <c r="L36" s="503"/>
      <c r="M36" s="504"/>
      <c r="N36" s="498"/>
      <c r="O36" s="502"/>
      <c r="P36" s="500"/>
      <c r="Q36" s="501"/>
      <c r="R36" s="500">
        <f t="shared" si="0"/>
        <v>2422</v>
      </c>
      <c r="S36" s="501">
        <f t="shared" si="0"/>
        <v>0</v>
      </c>
      <c r="T36" s="505">
        <f t="shared" si="1"/>
        <v>-2422</v>
      </c>
    </row>
    <row r="37" spans="1:40" ht="15">
      <c r="A37" s="495" t="s">
        <v>316</v>
      </c>
      <c r="B37" s="498">
        <f>2263+541.22</f>
        <v>2804.2200000000003</v>
      </c>
      <c r="C37" s="501"/>
      <c r="D37" s="498">
        <v>240</v>
      </c>
      <c r="E37" s="499">
        <v>240</v>
      </c>
      <c r="F37" s="500"/>
      <c r="G37" s="501"/>
      <c r="H37" s="500"/>
      <c r="I37" s="501"/>
      <c r="J37" s="498"/>
      <c r="K37" s="502"/>
      <c r="L37" s="503"/>
      <c r="M37" s="504"/>
      <c r="N37" s="498"/>
      <c r="O37" s="502"/>
      <c r="P37" s="500"/>
      <c r="Q37" s="501"/>
      <c r="R37" s="500">
        <f t="shared" si="0"/>
        <v>3044.2200000000003</v>
      </c>
      <c r="S37" s="501">
        <f t="shared" si="0"/>
        <v>240</v>
      </c>
      <c r="T37" s="505">
        <f t="shared" si="1"/>
        <v>-2804.2200000000003</v>
      </c>
    </row>
    <row r="38" spans="1:40" ht="15">
      <c r="A38" s="495" t="s">
        <v>317</v>
      </c>
      <c r="B38" s="498">
        <f>290+1840</f>
        <v>2130</v>
      </c>
      <c r="C38" s="501">
        <v>200</v>
      </c>
      <c r="D38" s="498"/>
      <c r="E38" s="499"/>
      <c r="F38" s="500"/>
      <c r="G38" s="501"/>
      <c r="H38" s="500"/>
      <c r="I38" s="501"/>
      <c r="J38" s="498"/>
      <c r="K38" s="502"/>
      <c r="L38" s="503"/>
      <c r="M38" s="504"/>
      <c r="N38" s="498"/>
      <c r="O38" s="502"/>
      <c r="P38" s="500"/>
      <c r="Q38" s="501"/>
      <c r="R38" s="500">
        <f t="shared" si="0"/>
        <v>2130</v>
      </c>
      <c r="S38" s="501">
        <f t="shared" si="0"/>
        <v>200</v>
      </c>
      <c r="T38" s="505">
        <f t="shared" si="1"/>
        <v>-1930</v>
      </c>
    </row>
    <row r="39" spans="1:40" ht="15">
      <c r="A39" s="495" t="s">
        <v>318</v>
      </c>
      <c r="B39" s="498">
        <v>110</v>
      </c>
      <c r="C39" s="501">
        <v>200</v>
      </c>
      <c r="D39" s="498">
        <v>242</v>
      </c>
      <c r="E39" s="499">
        <v>150</v>
      </c>
      <c r="F39" s="500">
        <v>500</v>
      </c>
      <c r="G39" s="501"/>
      <c r="H39" s="500"/>
      <c r="I39" s="501"/>
      <c r="J39" s="498">
        <v>200</v>
      </c>
      <c r="K39" s="502">
        <v>450</v>
      </c>
      <c r="L39" s="503"/>
      <c r="M39" s="504"/>
      <c r="N39" s="498">
        <v>250</v>
      </c>
      <c r="O39" s="502">
        <f>300*5</f>
        <v>1500</v>
      </c>
      <c r="P39" s="500"/>
      <c r="Q39" s="501"/>
      <c r="R39" s="500">
        <f t="shared" si="0"/>
        <v>1302</v>
      </c>
      <c r="S39" s="501">
        <f t="shared" si="0"/>
        <v>2300</v>
      </c>
      <c r="T39" s="505">
        <f t="shared" si="1"/>
        <v>998</v>
      </c>
    </row>
    <row r="40" spans="1:40" ht="15">
      <c r="A40" s="495" t="s">
        <v>319</v>
      </c>
      <c r="B40" s="498">
        <v>350</v>
      </c>
      <c r="C40" s="501"/>
      <c r="D40" s="498"/>
      <c r="E40" s="499"/>
      <c r="F40" s="500"/>
      <c r="G40" s="501"/>
      <c r="H40" s="500"/>
      <c r="I40" s="501"/>
      <c r="J40" s="498"/>
      <c r="K40" s="502"/>
      <c r="L40" s="503"/>
      <c r="M40" s="504"/>
      <c r="N40" s="498"/>
      <c r="O40" s="502"/>
      <c r="P40" s="500"/>
      <c r="Q40" s="501"/>
      <c r="R40" s="500">
        <f t="shared" si="0"/>
        <v>350</v>
      </c>
      <c r="S40" s="501">
        <f t="shared" si="0"/>
        <v>0</v>
      </c>
      <c r="T40" s="505">
        <f t="shared" si="1"/>
        <v>-350</v>
      </c>
    </row>
    <row r="41" spans="1:40" ht="15">
      <c r="A41" s="495" t="s">
        <v>320</v>
      </c>
      <c r="B41" s="498">
        <v>135</v>
      </c>
      <c r="C41" s="501"/>
      <c r="D41" s="498"/>
      <c r="E41" s="499"/>
      <c r="F41" s="500"/>
      <c r="G41" s="501"/>
      <c r="H41" s="500"/>
      <c r="I41" s="501"/>
      <c r="J41" s="498"/>
      <c r="K41" s="502"/>
      <c r="L41" s="503"/>
      <c r="M41" s="504"/>
      <c r="N41" s="498"/>
      <c r="O41" s="502"/>
      <c r="P41" s="500"/>
      <c r="Q41" s="501"/>
      <c r="R41" s="500">
        <f t="shared" si="0"/>
        <v>135</v>
      </c>
      <c r="S41" s="501">
        <f t="shared" si="0"/>
        <v>0</v>
      </c>
      <c r="T41" s="505">
        <v>0</v>
      </c>
    </row>
    <row r="42" spans="1:40" ht="15">
      <c r="A42" s="495" t="s">
        <v>321</v>
      </c>
      <c r="B42" s="498">
        <v>8167.5</v>
      </c>
      <c r="C42" s="501"/>
      <c r="D42" s="498"/>
      <c r="E42" s="499"/>
      <c r="F42" s="500"/>
      <c r="G42" s="501"/>
      <c r="H42" s="500"/>
      <c r="I42" s="501"/>
      <c r="J42" s="498"/>
      <c r="K42" s="502"/>
      <c r="L42" s="503"/>
      <c r="M42" s="504"/>
      <c r="N42" s="498"/>
      <c r="O42" s="502"/>
      <c r="P42" s="500"/>
      <c r="Q42" s="501"/>
      <c r="R42" s="500">
        <f t="shared" si="0"/>
        <v>8167.5</v>
      </c>
      <c r="S42" s="501">
        <f t="shared" si="0"/>
        <v>0</v>
      </c>
      <c r="T42" s="505">
        <f>S42-R42</f>
        <v>-8167.5</v>
      </c>
    </row>
    <row r="43" spans="1:40" ht="15">
      <c r="A43" s="495" t="s">
        <v>322</v>
      </c>
      <c r="B43" s="498">
        <v>925</v>
      </c>
      <c r="C43" s="501">
        <v>200</v>
      </c>
      <c r="D43" s="498">
        <v>240</v>
      </c>
      <c r="E43" s="499">
        <v>240</v>
      </c>
      <c r="F43" s="500">
        <v>400</v>
      </c>
      <c r="G43" s="501"/>
      <c r="H43" s="500"/>
      <c r="I43" s="501"/>
      <c r="J43" s="498">
        <v>650</v>
      </c>
      <c r="K43" s="502">
        <v>700</v>
      </c>
      <c r="L43" s="503"/>
      <c r="M43" s="504"/>
      <c r="N43" s="498">
        <v>220</v>
      </c>
      <c r="O43" s="502">
        <f>242*5</f>
        <v>1210</v>
      </c>
      <c r="P43" s="500"/>
      <c r="Q43" s="501"/>
      <c r="R43" s="500">
        <f t="shared" si="0"/>
        <v>2435</v>
      </c>
      <c r="S43" s="501">
        <f t="shared" si="0"/>
        <v>2350</v>
      </c>
      <c r="T43" s="505">
        <f>S43-R43</f>
        <v>-85</v>
      </c>
    </row>
    <row r="44" spans="1:40" ht="15">
      <c r="A44" s="495" t="s">
        <v>323</v>
      </c>
      <c r="B44" s="498">
        <v>300</v>
      </c>
      <c r="C44" s="501"/>
      <c r="D44" s="498">
        <v>120</v>
      </c>
      <c r="E44" s="499"/>
      <c r="F44" s="500"/>
      <c r="G44" s="501"/>
      <c r="H44" s="500"/>
      <c r="I44" s="501"/>
      <c r="J44" s="498"/>
      <c r="K44" s="502"/>
      <c r="L44" s="503"/>
      <c r="M44" s="504"/>
      <c r="N44" s="498"/>
      <c r="O44" s="502"/>
      <c r="P44" s="500"/>
      <c r="Q44" s="501"/>
      <c r="R44" s="500">
        <f t="shared" si="0"/>
        <v>420</v>
      </c>
      <c r="S44" s="501">
        <f t="shared" si="0"/>
        <v>0</v>
      </c>
      <c r="T44" s="505">
        <f>S44-R44</f>
        <v>-420</v>
      </c>
    </row>
    <row r="45" spans="1:40" ht="15">
      <c r="A45" s="495" t="s">
        <v>324</v>
      </c>
      <c r="B45" s="498"/>
      <c r="C45" s="501"/>
      <c r="D45" s="498">
        <v>400</v>
      </c>
      <c r="E45" s="499"/>
      <c r="F45" s="500"/>
      <c r="G45" s="501"/>
      <c r="H45" s="500"/>
      <c r="I45" s="501"/>
      <c r="J45" s="498">
        <v>190</v>
      </c>
      <c r="K45" s="502"/>
      <c r="L45" s="503"/>
      <c r="M45" s="504"/>
      <c r="N45" s="498"/>
      <c r="O45" s="502"/>
      <c r="P45" s="500"/>
      <c r="Q45" s="501"/>
      <c r="R45" s="500">
        <f t="shared" si="0"/>
        <v>590</v>
      </c>
      <c r="S45" s="501">
        <f t="shared" si="0"/>
        <v>0</v>
      </c>
      <c r="T45" s="505">
        <f>S45-R45</f>
        <v>-590</v>
      </c>
    </row>
    <row r="46" spans="1:40" s="518" customFormat="1">
      <c r="A46" s="509" t="s">
        <v>325</v>
      </c>
      <c r="B46" s="510">
        <f t="shared" ref="B46:O46" si="2">SUM(B4:B45)</f>
        <v>63319.01</v>
      </c>
      <c r="C46" s="511">
        <f t="shared" si="2"/>
        <v>20680</v>
      </c>
      <c r="D46" s="510">
        <f t="shared" si="2"/>
        <v>5864.5</v>
      </c>
      <c r="E46" s="511">
        <f t="shared" si="2"/>
        <v>4910</v>
      </c>
      <c r="F46" s="512">
        <f t="shared" si="2"/>
        <v>5335.8</v>
      </c>
      <c r="G46" s="513">
        <f t="shared" si="2"/>
        <v>900</v>
      </c>
      <c r="H46" s="512">
        <f t="shared" si="2"/>
        <v>500</v>
      </c>
      <c r="I46" s="511">
        <f t="shared" si="2"/>
        <v>500</v>
      </c>
      <c r="J46" s="510">
        <f t="shared" si="2"/>
        <v>7314</v>
      </c>
      <c r="K46" s="514">
        <f t="shared" si="2"/>
        <v>10419</v>
      </c>
      <c r="L46" s="515">
        <f t="shared" si="2"/>
        <v>4740</v>
      </c>
      <c r="M46" s="515">
        <f t="shared" si="2"/>
        <v>4040</v>
      </c>
      <c r="N46" s="512">
        <f t="shared" si="2"/>
        <v>3215.55</v>
      </c>
      <c r="O46" s="515">
        <f t="shared" si="2"/>
        <v>21510</v>
      </c>
      <c r="P46" s="515">
        <f t="shared" ref="P46:Q46" si="3">SUM(P4:P45)</f>
        <v>40000</v>
      </c>
      <c r="Q46" s="515">
        <f t="shared" si="3"/>
        <v>40000</v>
      </c>
      <c r="R46" s="512">
        <f>B46+D46+F46+H46+J46+L46+N46+P46</f>
        <v>130288.86000000002</v>
      </c>
      <c r="S46" s="513">
        <f>C46+E46+G46+I46+K46+M46+O46+Q46</f>
        <v>102959</v>
      </c>
      <c r="T46" s="516">
        <f>S46-R46</f>
        <v>-27329.860000000015</v>
      </c>
      <c r="U46" s="517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</row>
    <row r="47" spans="1:40" s="494" customFormat="1">
      <c r="A47" s="486" t="s">
        <v>326</v>
      </c>
      <c r="B47" s="487"/>
      <c r="C47" s="488"/>
      <c r="D47" s="487"/>
      <c r="E47" s="489"/>
      <c r="F47" s="490"/>
      <c r="G47" s="488"/>
      <c r="H47" s="490"/>
      <c r="I47" s="488"/>
      <c r="J47" s="487"/>
      <c r="K47" s="491"/>
      <c r="L47" s="519"/>
      <c r="M47" s="485"/>
      <c r="N47" s="487"/>
      <c r="O47" s="491"/>
      <c r="P47" s="490"/>
      <c r="Q47" s="488"/>
      <c r="R47" s="500">
        <f t="shared" ref="R47:S51" si="4">B47+D47+F47+H47+J47+L47+N47</f>
        <v>0</v>
      </c>
      <c r="S47" s="501">
        <f t="shared" si="4"/>
        <v>0</v>
      </c>
      <c r="T47" s="520">
        <v>0</v>
      </c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</row>
    <row r="48" spans="1:40" ht="15">
      <c r="A48" s="521" t="s">
        <v>327</v>
      </c>
      <c r="B48" s="522">
        <v>12200</v>
      </c>
      <c r="C48" s="523">
        <v>16438</v>
      </c>
      <c r="D48" s="522">
        <v>2038</v>
      </c>
      <c r="E48" s="524">
        <v>410</v>
      </c>
      <c r="F48" s="525">
        <v>2110</v>
      </c>
      <c r="G48" s="523">
        <v>900</v>
      </c>
      <c r="H48" s="525">
        <v>500</v>
      </c>
      <c r="I48" s="523">
        <v>500</v>
      </c>
      <c r="J48" s="522">
        <v>700</v>
      </c>
      <c r="K48" s="526"/>
      <c r="L48" s="527">
        <v>4740</v>
      </c>
      <c r="M48" s="528">
        <v>4040</v>
      </c>
      <c r="N48" s="522"/>
      <c r="O48" s="526"/>
      <c r="P48" s="525"/>
      <c r="Q48" s="523"/>
      <c r="R48" s="500">
        <f t="shared" si="4"/>
        <v>22288</v>
      </c>
      <c r="S48" s="501">
        <f t="shared" si="4"/>
        <v>22288</v>
      </c>
      <c r="T48" s="520">
        <f>S48-R48</f>
        <v>0</v>
      </c>
      <c r="U48" s="517"/>
    </row>
    <row r="49" spans="1:21" ht="15">
      <c r="A49" s="521" t="s">
        <v>328</v>
      </c>
      <c r="B49" s="522">
        <v>0</v>
      </c>
      <c r="C49" s="523"/>
      <c r="D49" s="522"/>
      <c r="E49" s="524"/>
      <c r="F49" s="525"/>
      <c r="G49" s="523"/>
      <c r="H49" s="525"/>
      <c r="I49" s="523"/>
      <c r="J49" s="522"/>
      <c r="K49" s="526"/>
      <c r="L49" s="527"/>
      <c r="M49" s="528"/>
      <c r="N49" s="522"/>
      <c r="O49" s="526"/>
      <c r="P49" s="525"/>
      <c r="Q49" s="523"/>
      <c r="R49" s="500">
        <f t="shared" si="4"/>
        <v>0</v>
      </c>
      <c r="S49" s="501">
        <f t="shared" si="4"/>
        <v>0</v>
      </c>
      <c r="T49" s="520">
        <f>S49-R49</f>
        <v>0</v>
      </c>
    </row>
    <row r="50" spans="1:21" ht="15">
      <c r="A50" s="521" t="s">
        <v>329</v>
      </c>
      <c r="B50" s="522">
        <v>2951</v>
      </c>
      <c r="C50" s="523"/>
      <c r="D50" s="522"/>
      <c r="E50" s="524"/>
      <c r="F50" s="525"/>
      <c r="G50" s="523"/>
      <c r="H50" s="525"/>
      <c r="I50" s="523"/>
      <c r="J50" s="522"/>
      <c r="K50" s="526"/>
      <c r="L50" s="527"/>
      <c r="M50" s="528"/>
      <c r="N50" s="522"/>
      <c r="O50" s="526"/>
      <c r="P50" s="525"/>
      <c r="Q50" s="523"/>
      <c r="R50" s="500">
        <f t="shared" si="4"/>
        <v>2951</v>
      </c>
      <c r="S50" s="501">
        <f t="shared" si="4"/>
        <v>0</v>
      </c>
      <c r="T50" s="520">
        <f>S50-R50</f>
        <v>-2951</v>
      </c>
    </row>
    <row r="51" spans="1:21" ht="15">
      <c r="A51" s="521" t="s">
        <v>330</v>
      </c>
      <c r="B51" s="522">
        <v>550</v>
      </c>
      <c r="C51" s="523">
        <v>1000</v>
      </c>
      <c r="D51" s="522"/>
      <c r="E51" s="524"/>
      <c r="F51" s="525"/>
      <c r="G51" s="523"/>
      <c r="H51" s="525"/>
      <c r="I51" s="523"/>
      <c r="J51" s="522"/>
      <c r="K51" s="526"/>
      <c r="L51" s="527"/>
      <c r="M51" s="528"/>
      <c r="N51" s="522">
        <v>265</v>
      </c>
      <c r="O51" s="526"/>
      <c r="P51" s="525"/>
      <c r="Q51" s="523"/>
      <c r="R51" s="500">
        <f t="shared" si="4"/>
        <v>815</v>
      </c>
      <c r="S51" s="501">
        <f t="shared" si="4"/>
        <v>1000</v>
      </c>
      <c r="T51" s="520">
        <f>S51-R51</f>
        <v>185</v>
      </c>
    </row>
    <row r="52" spans="1:21" ht="15">
      <c r="A52" s="521" t="s">
        <v>331</v>
      </c>
      <c r="B52" s="522"/>
      <c r="C52" s="523"/>
      <c r="D52" s="522"/>
      <c r="E52" s="524"/>
      <c r="F52" s="525"/>
      <c r="G52" s="523"/>
      <c r="H52" s="525"/>
      <c r="I52" s="523"/>
      <c r="J52" s="522"/>
      <c r="K52" s="526"/>
      <c r="L52" s="527"/>
      <c r="M52" s="528"/>
      <c r="N52" s="522"/>
      <c r="O52" s="526"/>
      <c r="P52" s="525">
        <v>40000</v>
      </c>
      <c r="Q52" s="523">
        <v>40000</v>
      </c>
      <c r="R52" s="500">
        <v>40000</v>
      </c>
      <c r="S52" s="501">
        <v>40000</v>
      </c>
      <c r="T52" s="520"/>
    </row>
    <row r="53" spans="1:21" ht="15">
      <c r="A53" s="521" t="s">
        <v>332</v>
      </c>
      <c r="B53" s="529">
        <v>30000</v>
      </c>
      <c r="C53" s="530"/>
      <c r="D53" s="529"/>
      <c r="E53" s="531"/>
      <c r="F53" s="525"/>
      <c r="G53" s="523"/>
      <c r="H53" s="525"/>
      <c r="I53" s="523"/>
      <c r="J53" s="529"/>
      <c r="K53" s="532"/>
      <c r="L53" s="533"/>
      <c r="M53" s="534"/>
      <c r="N53" s="529"/>
      <c r="O53" s="532"/>
      <c r="P53" s="535"/>
      <c r="Q53" s="530"/>
      <c r="R53" s="500">
        <f t="shared" ref="R53:S70" si="5">B53+D53+F53+H53+J53+L53+N53</f>
        <v>30000</v>
      </c>
      <c r="S53" s="501">
        <f t="shared" si="5"/>
        <v>0</v>
      </c>
      <c r="T53" s="520">
        <f>S53-R53</f>
        <v>-30000</v>
      </c>
    </row>
    <row r="54" spans="1:21" ht="15">
      <c r="A54" s="521" t="s">
        <v>333</v>
      </c>
      <c r="B54" s="522">
        <v>15000</v>
      </c>
      <c r="C54" s="523"/>
      <c r="D54" s="522"/>
      <c r="E54" s="524"/>
      <c r="F54" s="525"/>
      <c r="G54" s="523"/>
      <c r="H54" s="525"/>
      <c r="I54" s="523"/>
      <c r="J54" s="522"/>
      <c r="K54" s="526"/>
      <c r="L54" s="527"/>
      <c r="M54" s="528"/>
      <c r="N54" s="522"/>
      <c r="O54" s="526"/>
      <c r="P54" s="525"/>
      <c r="Q54" s="523"/>
      <c r="R54" s="500">
        <f t="shared" si="5"/>
        <v>15000</v>
      </c>
      <c r="S54" s="501">
        <f t="shared" si="5"/>
        <v>0</v>
      </c>
      <c r="T54" s="520">
        <f>S54-R54</f>
        <v>-15000</v>
      </c>
    </row>
    <row r="55" spans="1:21" ht="15">
      <c r="A55" s="521" t="s">
        <v>334</v>
      </c>
      <c r="B55" s="522">
        <v>20000</v>
      </c>
      <c r="C55" s="523"/>
      <c r="D55" s="522"/>
      <c r="E55" s="524"/>
      <c r="F55" s="525"/>
      <c r="G55" s="523"/>
      <c r="H55" s="525"/>
      <c r="I55" s="523"/>
      <c r="J55" s="529"/>
      <c r="K55" s="532"/>
      <c r="L55" s="533"/>
      <c r="M55" s="534"/>
      <c r="N55" s="529"/>
      <c r="O55" s="532"/>
      <c r="P55" s="535"/>
      <c r="Q55" s="530"/>
      <c r="R55" s="500">
        <f t="shared" si="5"/>
        <v>20000</v>
      </c>
      <c r="S55" s="501">
        <f t="shared" si="5"/>
        <v>0</v>
      </c>
      <c r="T55" s="520">
        <f>S55-R55</f>
        <v>-20000</v>
      </c>
    </row>
    <row r="56" spans="1:21" ht="15">
      <c r="A56" s="521" t="s">
        <v>335</v>
      </c>
      <c r="B56" s="522"/>
      <c r="C56" s="523"/>
      <c r="D56" s="522">
        <v>1000</v>
      </c>
      <c r="E56" s="524"/>
      <c r="F56" s="525">
        <v>1750</v>
      </c>
      <c r="G56" s="523"/>
      <c r="H56" s="525"/>
      <c r="I56" s="523"/>
      <c r="J56" s="529"/>
      <c r="K56" s="532"/>
      <c r="L56" s="533"/>
      <c r="M56" s="534"/>
      <c r="N56" s="529"/>
      <c r="O56" s="532"/>
      <c r="P56" s="535"/>
      <c r="Q56" s="530"/>
      <c r="R56" s="500">
        <f t="shared" si="5"/>
        <v>2750</v>
      </c>
      <c r="S56" s="501">
        <f t="shared" si="5"/>
        <v>0</v>
      </c>
      <c r="T56" s="520">
        <f>S56-R56</f>
        <v>-2750</v>
      </c>
    </row>
    <row r="57" spans="1:21" ht="15">
      <c r="A57" s="521" t="s">
        <v>336</v>
      </c>
      <c r="B57" s="522"/>
      <c r="C57" s="523"/>
      <c r="D57" s="522"/>
      <c r="E57" s="524"/>
      <c r="F57" s="525"/>
      <c r="G57" s="523"/>
      <c r="H57" s="525"/>
      <c r="I57" s="523"/>
      <c r="J57" s="529"/>
      <c r="K57" s="532"/>
      <c r="L57" s="533"/>
      <c r="M57" s="534"/>
      <c r="N57" s="529">
        <v>389.26</v>
      </c>
      <c r="O57" s="532"/>
      <c r="P57" s="535"/>
      <c r="Q57" s="530"/>
      <c r="R57" s="500">
        <f t="shared" si="5"/>
        <v>389.26</v>
      </c>
      <c r="S57" s="501">
        <f t="shared" si="5"/>
        <v>0</v>
      </c>
      <c r="T57" s="520">
        <v>0</v>
      </c>
    </row>
    <row r="58" spans="1:21" ht="15">
      <c r="A58" s="521" t="s">
        <v>337</v>
      </c>
      <c r="B58" s="522">
        <v>2500</v>
      </c>
      <c r="C58" s="523"/>
      <c r="D58" s="522"/>
      <c r="E58" s="524"/>
      <c r="F58" s="525"/>
      <c r="G58" s="523"/>
      <c r="H58" s="525"/>
      <c r="I58" s="523"/>
      <c r="J58" s="529"/>
      <c r="K58" s="532"/>
      <c r="L58" s="533"/>
      <c r="M58" s="534"/>
      <c r="N58" s="529"/>
      <c r="O58" s="532"/>
      <c r="P58" s="535"/>
      <c r="Q58" s="530"/>
      <c r="R58" s="500">
        <f t="shared" si="5"/>
        <v>2500</v>
      </c>
      <c r="S58" s="501">
        <f t="shared" si="5"/>
        <v>0</v>
      </c>
      <c r="T58" s="520">
        <f t="shared" ref="T58:T70" si="6">S58-R58</f>
        <v>-2500</v>
      </c>
    </row>
    <row r="59" spans="1:21" ht="15">
      <c r="A59" s="536" t="s">
        <v>338</v>
      </c>
      <c r="B59" s="522"/>
      <c r="C59" s="523"/>
      <c r="D59" s="522">
        <v>2000</v>
      </c>
      <c r="E59" s="524"/>
      <c r="F59" s="525"/>
      <c r="G59" s="523"/>
      <c r="H59" s="525"/>
      <c r="I59" s="523"/>
      <c r="J59" s="529"/>
      <c r="K59" s="532"/>
      <c r="L59" s="533"/>
      <c r="M59" s="534"/>
      <c r="N59" s="529"/>
      <c r="O59" s="532"/>
      <c r="P59" s="535"/>
      <c r="Q59" s="530"/>
      <c r="R59" s="500">
        <f t="shared" si="5"/>
        <v>2000</v>
      </c>
      <c r="S59" s="501">
        <f t="shared" si="5"/>
        <v>0</v>
      </c>
      <c r="T59" s="520">
        <f t="shared" si="6"/>
        <v>-2000</v>
      </c>
      <c r="U59" s="517"/>
    </row>
    <row r="60" spans="1:21" ht="15">
      <c r="A60" s="536" t="s">
        <v>339</v>
      </c>
      <c r="B60" s="522"/>
      <c r="C60" s="523"/>
      <c r="D60" s="522"/>
      <c r="E60" s="524">
        <v>3500</v>
      </c>
      <c r="F60" s="525"/>
      <c r="G60" s="523"/>
      <c r="H60" s="525"/>
      <c r="I60" s="523"/>
      <c r="J60" s="529"/>
      <c r="K60" s="532"/>
      <c r="L60" s="533"/>
      <c r="M60" s="534"/>
      <c r="N60" s="529"/>
      <c r="O60" s="532"/>
      <c r="P60" s="535"/>
      <c r="Q60" s="530"/>
      <c r="R60" s="500">
        <f t="shared" si="5"/>
        <v>0</v>
      </c>
      <c r="S60" s="501">
        <f t="shared" si="5"/>
        <v>3500</v>
      </c>
      <c r="T60" s="520">
        <f t="shared" si="6"/>
        <v>3500</v>
      </c>
      <c r="U60" s="517"/>
    </row>
    <row r="61" spans="1:21" ht="15">
      <c r="A61" s="521" t="s">
        <v>340</v>
      </c>
      <c r="B61" s="529"/>
      <c r="C61" s="530"/>
      <c r="D61" s="529"/>
      <c r="E61" s="531"/>
      <c r="F61" s="525">
        <v>1500</v>
      </c>
      <c r="G61" s="523"/>
      <c r="H61" s="525"/>
      <c r="I61" s="523"/>
      <c r="J61" s="529"/>
      <c r="K61" s="532"/>
      <c r="L61" s="533"/>
      <c r="M61" s="534"/>
      <c r="N61" s="529"/>
      <c r="O61" s="532"/>
      <c r="P61" s="535"/>
      <c r="Q61" s="530"/>
      <c r="R61" s="500">
        <f t="shared" si="5"/>
        <v>1500</v>
      </c>
      <c r="S61" s="501">
        <f t="shared" si="5"/>
        <v>0</v>
      </c>
      <c r="T61" s="520">
        <f t="shared" si="6"/>
        <v>-1500</v>
      </c>
    </row>
    <row r="62" spans="1:21" ht="15">
      <c r="A62" s="521" t="s">
        <v>341</v>
      </c>
      <c r="B62" s="522"/>
      <c r="C62" s="523">
        <v>1680</v>
      </c>
      <c r="D62" s="522">
        <f>792+150</f>
        <v>942</v>
      </c>
      <c r="E62" s="524">
        <v>1000</v>
      </c>
      <c r="F62" s="525"/>
      <c r="G62" s="523"/>
      <c r="H62" s="525"/>
      <c r="I62" s="523"/>
      <c r="J62" s="522">
        <v>2720</v>
      </c>
      <c r="K62" s="526">
        <v>2500</v>
      </c>
      <c r="L62" s="527"/>
      <c r="M62" s="528"/>
      <c r="N62" s="522">
        <v>1090</v>
      </c>
      <c r="O62" s="526"/>
      <c r="P62" s="525"/>
      <c r="Q62" s="523"/>
      <c r="R62" s="500">
        <f t="shared" si="5"/>
        <v>4752</v>
      </c>
      <c r="S62" s="501">
        <f t="shared" si="5"/>
        <v>5180</v>
      </c>
      <c r="T62" s="520">
        <f t="shared" si="6"/>
        <v>428</v>
      </c>
    </row>
    <row r="63" spans="1:21" ht="15">
      <c r="A63" s="521" t="s">
        <v>342</v>
      </c>
      <c r="B63" s="522"/>
      <c r="C63" s="523"/>
      <c r="D63" s="522"/>
      <c r="E63" s="524"/>
      <c r="F63" s="525"/>
      <c r="G63" s="523"/>
      <c r="H63" s="525"/>
      <c r="I63" s="523"/>
      <c r="J63" s="522"/>
      <c r="K63" s="526">
        <v>6200</v>
      </c>
      <c r="L63" s="527"/>
      <c r="M63" s="528"/>
      <c r="N63" s="522"/>
      <c r="O63" s="526"/>
      <c r="P63" s="525"/>
      <c r="Q63" s="523"/>
      <c r="R63" s="500">
        <f t="shared" si="5"/>
        <v>0</v>
      </c>
      <c r="S63" s="501">
        <f t="shared" si="5"/>
        <v>6200</v>
      </c>
      <c r="T63" s="520">
        <f t="shared" si="6"/>
        <v>6200</v>
      </c>
    </row>
    <row r="64" spans="1:21" ht="15">
      <c r="A64" s="521" t="s">
        <v>343</v>
      </c>
      <c r="B64" s="522"/>
      <c r="C64" s="523"/>
      <c r="D64" s="522"/>
      <c r="E64" s="524"/>
      <c r="F64" s="525"/>
      <c r="G64" s="523"/>
      <c r="H64" s="525"/>
      <c r="I64" s="523"/>
      <c r="J64" s="522"/>
      <c r="K64" s="526"/>
      <c r="L64" s="527"/>
      <c r="M64" s="528"/>
      <c r="N64" s="522"/>
      <c r="O64" s="526">
        <v>20000</v>
      </c>
      <c r="P64" s="525"/>
      <c r="Q64" s="523"/>
      <c r="R64" s="500">
        <f t="shared" si="5"/>
        <v>0</v>
      </c>
      <c r="S64" s="501">
        <f t="shared" si="5"/>
        <v>20000</v>
      </c>
      <c r="T64" s="520">
        <f t="shared" si="6"/>
        <v>20000</v>
      </c>
    </row>
    <row r="65" spans="1:40" ht="15">
      <c r="A65" s="521" t="s">
        <v>344</v>
      </c>
      <c r="B65" s="522"/>
      <c r="C65" s="523"/>
      <c r="D65" s="522"/>
      <c r="E65" s="524"/>
      <c r="F65" s="525"/>
      <c r="G65" s="523"/>
      <c r="H65" s="525"/>
      <c r="I65" s="523"/>
      <c r="J65" s="522">
        <v>500</v>
      </c>
      <c r="K65" s="526"/>
      <c r="L65" s="527"/>
      <c r="M65" s="528"/>
      <c r="N65" s="522"/>
      <c r="O65" s="526"/>
      <c r="P65" s="525"/>
      <c r="Q65" s="523"/>
      <c r="R65" s="500">
        <f t="shared" si="5"/>
        <v>500</v>
      </c>
      <c r="S65" s="501">
        <f t="shared" si="5"/>
        <v>0</v>
      </c>
      <c r="T65" s="520">
        <f t="shared" si="6"/>
        <v>-500</v>
      </c>
    </row>
    <row r="66" spans="1:40" ht="15">
      <c r="A66" s="521" t="s">
        <v>345</v>
      </c>
      <c r="B66" s="537"/>
      <c r="C66" s="538"/>
      <c r="D66" s="522"/>
      <c r="E66" s="524"/>
      <c r="F66" s="525"/>
      <c r="G66" s="523"/>
      <c r="H66" s="525"/>
      <c r="I66" s="523"/>
      <c r="J66" s="522">
        <v>200</v>
      </c>
      <c r="K66" s="526"/>
      <c r="L66" s="527"/>
      <c r="M66" s="528"/>
      <c r="N66" s="522"/>
      <c r="O66" s="526"/>
      <c r="P66" s="525"/>
      <c r="Q66" s="523"/>
      <c r="R66" s="500">
        <f t="shared" si="5"/>
        <v>200</v>
      </c>
      <c r="S66" s="501">
        <f t="shared" si="5"/>
        <v>0</v>
      </c>
      <c r="T66" s="520">
        <f t="shared" si="6"/>
        <v>-200</v>
      </c>
    </row>
    <row r="67" spans="1:40" ht="15">
      <c r="A67" s="521" t="s">
        <v>346</v>
      </c>
      <c r="B67" s="537"/>
      <c r="C67" s="538"/>
      <c r="D67" s="522"/>
      <c r="E67" s="524"/>
      <c r="F67" s="525"/>
      <c r="G67" s="523"/>
      <c r="H67" s="525"/>
      <c r="I67" s="523"/>
      <c r="J67" s="522">
        <v>1000</v>
      </c>
      <c r="K67" s="526">
        <v>1500</v>
      </c>
      <c r="L67" s="527"/>
      <c r="M67" s="528"/>
      <c r="N67" s="522"/>
      <c r="O67" s="526"/>
      <c r="P67" s="525"/>
      <c r="Q67" s="523"/>
      <c r="R67" s="500">
        <f t="shared" si="5"/>
        <v>1000</v>
      </c>
      <c r="S67" s="501">
        <f t="shared" si="5"/>
        <v>1500</v>
      </c>
      <c r="T67" s="520">
        <f t="shared" si="6"/>
        <v>500</v>
      </c>
    </row>
    <row r="68" spans="1:40" ht="15">
      <c r="A68" s="521" t="s">
        <v>347</v>
      </c>
      <c r="B68" s="537"/>
      <c r="C68" s="538"/>
      <c r="D68" s="522"/>
      <c r="E68" s="524"/>
      <c r="F68" s="525"/>
      <c r="G68" s="523"/>
      <c r="H68" s="525"/>
      <c r="I68" s="523"/>
      <c r="J68" s="522">
        <v>2000</v>
      </c>
      <c r="K68" s="526">
        <v>300</v>
      </c>
      <c r="L68" s="527"/>
      <c r="M68" s="528"/>
      <c r="N68" s="522"/>
      <c r="O68" s="526"/>
      <c r="P68" s="525"/>
      <c r="Q68" s="523"/>
      <c r="R68" s="500">
        <f t="shared" si="5"/>
        <v>2000</v>
      </c>
      <c r="S68" s="501">
        <f t="shared" si="5"/>
        <v>300</v>
      </c>
      <c r="T68" s="520">
        <f t="shared" si="6"/>
        <v>-1700</v>
      </c>
    </row>
    <row r="69" spans="1:40" ht="15">
      <c r="A69" s="521" t="s">
        <v>348</v>
      </c>
      <c r="B69" s="522"/>
      <c r="C69" s="523"/>
      <c r="D69" s="522"/>
      <c r="E69" s="524"/>
      <c r="F69" s="525"/>
      <c r="G69" s="523"/>
      <c r="H69" s="525"/>
      <c r="I69" s="523"/>
      <c r="J69" s="522"/>
      <c r="K69" s="526"/>
      <c r="L69" s="527"/>
      <c r="M69" s="528"/>
      <c r="N69" s="522">
        <v>750</v>
      </c>
      <c r="O69" s="526">
        <v>1500</v>
      </c>
      <c r="P69" s="525"/>
      <c r="Q69" s="523"/>
      <c r="R69" s="500">
        <f t="shared" si="5"/>
        <v>750</v>
      </c>
      <c r="S69" s="501">
        <f t="shared" si="5"/>
        <v>1500</v>
      </c>
      <c r="T69" s="520">
        <f t="shared" si="6"/>
        <v>750</v>
      </c>
    </row>
    <row r="70" spans="1:40" ht="15">
      <c r="A70" s="521" t="s">
        <v>349</v>
      </c>
      <c r="B70" s="537"/>
      <c r="C70" s="538"/>
      <c r="D70" s="522"/>
      <c r="E70" s="524"/>
      <c r="F70" s="525"/>
      <c r="G70" s="523"/>
      <c r="H70" s="525"/>
      <c r="I70" s="523"/>
      <c r="J70" s="522">
        <v>200</v>
      </c>
      <c r="K70" s="526"/>
      <c r="L70" s="527"/>
      <c r="M70" s="528"/>
      <c r="N70" s="522"/>
      <c r="O70" s="526"/>
      <c r="P70" s="525"/>
      <c r="Q70" s="523"/>
      <c r="R70" s="500">
        <f t="shared" si="5"/>
        <v>200</v>
      </c>
      <c r="S70" s="501">
        <f t="shared" si="5"/>
        <v>0</v>
      </c>
      <c r="T70" s="520">
        <f t="shared" si="6"/>
        <v>-200</v>
      </c>
    </row>
    <row r="71" spans="1:40" ht="15">
      <c r="A71" s="521"/>
      <c r="B71" s="537"/>
      <c r="C71" s="538"/>
      <c r="D71" s="522"/>
      <c r="E71" s="524"/>
      <c r="F71" s="525"/>
      <c r="G71" s="523"/>
      <c r="H71" s="525"/>
      <c r="I71" s="523"/>
      <c r="J71" s="522"/>
      <c r="K71" s="526"/>
      <c r="L71" s="527"/>
      <c r="M71" s="528"/>
      <c r="N71" s="522"/>
      <c r="O71" s="526"/>
      <c r="P71" s="525"/>
      <c r="Q71" s="523"/>
      <c r="R71" s="500"/>
      <c r="S71" s="501"/>
      <c r="T71" s="520"/>
    </row>
    <row r="72" spans="1:40" ht="15">
      <c r="A72" s="521"/>
      <c r="B72" s="537"/>
      <c r="C72" s="538"/>
      <c r="D72" s="522"/>
      <c r="E72" s="524"/>
      <c r="F72" s="525"/>
      <c r="G72" s="523"/>
      <c r="H72" s="525"/>
      <c r="I72" s="523"/>
      <c r="J72" s="522"/>
      <c r="K72" s="526"/>
      <c r="L72" s="527"/>
      <c r="M72" s="528"/>
      <c r="N72" s="522"/>
      <c r="O72" s="526"/>
      <c r="P72" s="525"/>
      <c r="Q72" s="523"/>
      <c r="R72" s="500">
        <f>B72+D72+F72+H72+J72+L72+N72</f>
        <v>0</v>
      </c>
      <c r="S72" s="501">
        <f>C72+E72+G72+I72+K72+M72+O72</f>
        <v>0</v>
      </c>
      <c r="T72" s="520">
        <f>S72-R72</f>
        <v>0</v>
      </c>
    </row>
    <row r="73" spans="1:40" s="518" customFormat="1" ht="15" thickBot="1">
      <c r="A73" s="539" t="s">
        <v>350</v>
      </c>
      <c r="B73" s="540">
        <f t="shared" ref="B73:O73" si="7">SUM(B48:B72)</f>
        <v>83201</v>
      </c>
      <c r="C73" s="541">
        <f t="shared" si="7"/>
        <v>19118</v>
      </c>
      <c r="D73" s="540">
        <f t="shared" si="7"/>
        <v>5980</v>
      </c>
      <c r="E73" s="541">
        <f t="shared" si="7"/>
        <v>4910</v>
      </c>
      <c r="F73" s="542">
        <f t="shared" si="7"/>
        <v>5360</v>
      </c>
      <c r="G73" s="543">
        <f t="shared" si="7"/>
        <v>900</v>
      </c>
      <c r="H73" s="540">
        <f t="shared" si="7"/>
        <v>500</v>
      </c>
      <c r="I73" s="544">
        <f t="shared" si="7"/>
        <v>500</v>
      </c>
      <c r="J73" s="542">
        <f t="shared" si="7"/>
        <v>7320</v>
      </c>
      <c r="K73" s="542">
        <f t="shared" si="7"/>
        <v>10500</v>
      </c>
      <c r="L73" s="545">
        <f t="shared" si="7"/>
        <v>4740</v>
      </c>
      <c r="M73" s="545">
        <f t="shared" si="7"/>
        <v>4040</v>
      </c>
      <c r="N73" s="542">
        <f t="shared" si="7"/>
        <v>2494.2600000000002</v>
      </c>
      <c r="O73" s="545">
        <f t="shared" si="7"/>
        <v>21500</v>
      </c>
      <c r="P73" s="545">
        <f t="shared" ref="P73:Q73" si="8">SUM(P48:P72)</f>
        <v>40000</v>
      </c>
      <c r="Q73" s="545">
        <f t="shared" si="8"/>
        <v>40000</v>
      </c>
      <c r="R73" s="546">
        <f>B73+D73+F73+H73+J73+L73+N73+P73</f>
        <v>149595.26</v>
      </c>
      <c r="S73" s="547">
        <f>C73+E73+G73+I73+K73+M73+O73+Q73</f>
        <v>101468</v>
      </c>
      <c r="T73" s="548">
        <f>S73-R73</f>
        <v>-48127.260000000009</v>
      </c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</row>
    <row r="74" spans="1:40" ht="15" thickBot="1">
      <c r="A74" s="549"/>
      <c r="B74" s="550">
        <f t="shared" ref="B74:O74" si="9">B73-B46</f>
        <v>19881.989999999998</v>
      </c>
      <c r="C74" s="550">
        <f t="shared" si="9"/>
        <v>-1562</v>
      </c>
      <c r="D74" s="550">
        <f t="shared" si="9"/>
        <v>115.5</v>
      </c>
      <c r="E74" s="550">
        <f t="shared" si="9"/>
        <v>0</v>
      </c>
      <c r="F74" s="550">
        <f t="shared" si="9"/>
        <v>24.199999999999818</v>
      </c>
      <c r="G74" s="550">
        <f t="shared" si="9"/>
        <v>0</v>
      </c>
      <c r="H74" s="550">
        <f t="shared" si="9"/>
        <v>0</v>
      </c>
      <c r="I74" s="550">
        <f t="shared" si="9"/>
        <v>0</v>
      </c>
      <c r="J74" s="550">
        <f t="shared" si="9"/>
        <v>6</v>
      </c>
      <c r="K74" s="550">
        <f t="shared" si="9"/>
        <v>81</v>
      </c>
      <c r="L74" s="550">
        <f t="shared" si="9"/>
        <v>0</v>
      </c>
      <c r="M74" s="550">
        <f t="shared" si="9"/>
        <v>0</v>
      </c>
      <c r="N74" s="550">
        <f t="shared" si="9"/>
        <v>-721.29</v>
      </c>
      <c r="O74" s="551">
        <f t="shared" si="9"/>
        <v>-10</v>
      </c>
      <c r="P74" s="550"/>
      <c r="Q74" s="550"/>
      <c r="R74" s="550">
        <f>R73-R46</f>
        <v>19306.399999999994</v>
      </c>
      <c r="S74" s="550">
        <f>S73-S46</f>
        <v>-1491</v>
      </c>
      <c r="T74" s="552"/>
    </row>
    <row r="75" spans="1:40">
      <c r="A75" s="159"/>
      <c r="B75" s="159"/>
      <c r="C75" s="15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</row>
    <row r="76" spans="1:40">
      <c r="A76" s="159"/>
      <c r="B76" s="159"/>
      <c r="C76" s="15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</row>
    <row r="77" spans="1:40">
      <c r="A77" s="159"/>
      <c r="B77" s="159"/>
      <c r="C77" s="15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</row>
    <row r="78" spans="1:40">
      <c r="A78" s="159"/>
      <c r="B78" s="159"/>
      <c r="C78" s="15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</row>
    <row r="79" spans="1:40">
      <c r="A79" s="159"/>
      <c r="B79" s="159"/>
      <c r="C79" s="15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</row>
    <row r="80" spans="1:40">
      <c r="A80" s="159"/>
      <c r="B80" s="159"/>
      <c r="C80" s="15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</row>
    <row r="81" spans="1:20">
      <c r="A81" s="159"/>
      <c r="B81" s="159"/>
      <c r="C81" s="15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</row>
    <row r="82" spans="1:20">
      <c r="A82" s="159"/>
      <c r="B82" s="159"/>
      <c r="C82" s="15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</row>
    <row r="83" spans="1:20">
      <c r="A83" s="159"/>
      <c r="B83" s="159"/>
      <c r="C83" s="15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</row>
    <row r="84" spans="1:20">
      <c r="A84" s="159"/>
      <c r="B84" s="159"/>
      <c r="C84" s="15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</row>
    <row r="85" spans="1:20">
      <c r="A85" s="159"/>
      <c r="B85" s="159"/>
      <c r="C85" s="15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</row>
    <row r="86" spans="1:20">
      <c r="A86" s="159"/>
      <c r="B86" s="159"/>
      <c r="C86" s="15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</row>
    <row r="87" spans="1:20">
      <c r="A87" s="159"/>
      <c r="B87" s="159"/>
      <c r="C87" s="15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</row>
    <row r="88" spans="1:20">
      <c r="A88" s="159"/>
      <c r="B88" s="159"/>
      <c r="C88" s="15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</row>
    <row r="89" spans="1:20">
      <c r="A89" s="159"/>
      <c r="B89" s="159"/>
      <c r="C89" s="15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</row>
    <row r="90" spans="1:20">
      <c r="A90" s="159"/>
      <c r="B90" s="159"/>
      <c r="C90" s="15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</row>
    <row r="91" spans="1:20">
      <c r="A91" s="159"/>
      <c r="B91" s="159"/>
      <c r="C91" s="15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</row>
    <row r="92" spans="1:20">
      <c r="A92" s="159"/>
      <c r="B92" s="159"/>
      <c r="C92" s="15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</row>
    <row r="93" spans="1:20">
      <c r="A93" s="159"/>
      <c r="B93" s="159"/>
      <c r="C93" s="15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</row>
    <row r="94" spans="1:20">
      <c r="A94" s="159"/>
      <c r="B94" s="159"/>
      <c r="C94" s="15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</row>
    <row r="95" spans="1:20">
      <c r="A95" s="159"/>
      <c r="B95" s="159"/>
      <c r="C95" s="15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CBDC-F3A5-034E-8E66-B246B1D027E7}">
  <dimension ref="A1:AG3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640625" defaultRowHeight="14"/>
  <cols>
    <col min="1" max="1" width="45.6640625" style="139" customWidth="1"/>
    <col min="2" max="2" width="11.5" style="140" customWidth="1"/>
    <col min="3" max="3" width="15.5" style="140" customWidth="1"/>
    <col min="4" max="4" width="10" style="140" customWidth="1"/>
    <col min="5" max="5" width="12.5" style="140" bestFit="1" customWidth="1"/>
    <col min="6" max="6" width="18" style="140" customWidth="1"/>
    <col min="7" max="7" width="11" style="140" customWidth="1"/>
    <col min="8" max="8" width="16.1640625" style="140" customWidth="1"/>
    <col min="9" max="9" width="12.33203125" style="140" customWidth="1"/>
    <col min="10" max="10" width="17.5" style="140" customWidth="1"/>
    <col min="11" max="12" width="14.1640625" style="140" customWidth="1"/>
    <col min="13" max="13" width="10" style="140" customWidth="1"/>
    <col min="14" max="247" width="9.1640625" style="139"/>
    <col min="248" max="248" width="41.1640625" style="139" customWidth="1"/>
    <col min="249" max="250" width="9.6640625" style="139" customWidth="1"/>
    <col min="251" max="252" width="10.5" style="139" customWidth="1"/>
    <col min="253" max="254" width="9.6640625" style="139" customWidth="1"/>
    <col min="255" max="255" width="9.1640625" style="139"/>
    <col min="256" max="256" width="10.33203125" style="139" customWidth="1"/>
    <col min="257" max="258" width="9.1640625" style="139"/>
    <col min="259" max="262" width="10.33203125" style="139" customWidth="1"/>
    <col min="263" max="266" width="10.1640625" style="139" customWidth="1"/>
    <col min="267" max="267" width="11.33203125" style="139" customWidth="1"/>
    <col min="268" max="268" width="10" style="139" customWidth="1"/>
    <col min="269" max="503" width="9.1640625" style="139"/>
    <col min="504" max="504" width="41.1640625" style="139" customWidth="1"/>
    <col min="505" max="506" width="9.6640625" style="139" customWidth="1"/>
    <col min="507" max="508" width="10.5" style="139" customWidth="1"/>
    <col min="509" max="510" width="9.6640625" style="139" customWidth="1"/>
    <col min="511" max="511" width="9.1640625" style="139"/>
    <col min="512" max="512" width="10.33203125" style="139" customWidth="1"/>
    <col min="513" max="514" width="9.1640625" style="139"/>
    <col min="515" max="518" width="10.33203125" style="139" customWidth="1"/>
    <col min="519" max="522" width="10.1640625" style="139" customWidth="1"/>
    <col min="523" max="523" width="11.33203125" style="139" customWidth="1"/>
    <col min="524" max="524" width="10" style="139" customWidth="1"/>
    <col min="525" max="759" width="9.1640625" style="139"/>
    <col min="760" max="760" width="41.1640625" style="139" customWidth="1"/>
    <col min="761" max="762" width="9.6640625" style="139" customWidth="1"/>
    <col min="763" max="764" width="10.5" style="139" customWidth="1"/>
    <col min="765" max="766" width="9.6640625" style="139" customWidth="1"/>
    <col min="767" max="767" width="9.1640625" style="139"/>
    <col min="768" max="768" width="10.33203125" style="139" customWidth="1"/>
    <col min="769" max="770" width="9.1640625" style="139"/>
    <col min="771" max="774" width="10.33203125" style="139" customWidth="1"/>
    <col min="775" max="778" width="10.1640625" style="139" customWidth="1"/>
    <col min="779" max="779" width="11.33203125" style="139" customWidth="1"/>
    <col min="780" max="780" width="10" style="139" customWidth="1"/>
    <col min="781" max="1015" width="9.1640625" style="139"/>
    <col min="1016" max="1016" width="41.1640625" style="139" customWidth="1"/>
    <col min="1017" max="1018" width="9.6640625" style="139" customWidth="1"/>
    <col min="1019" max="1020" width="10.5" style="139" customWidth="1"/>
    <col min="1021" max="1022" width="9.6640625" style="139" customWidth="1"/>
    <col min="1023" max="1023" width="9.1640625" style="139"/>
    <col min="1024" max="1024" width="10.33203125" style="139" customWidth="1"/>
    <col min="1025" max="1026" width="9.1640625" style="139"/>
    <col min="1027" max="1030" width="10.33203125" style="139" customWidth="1"/>
    <col min="1031" max="1034" width="10.1640625" style="139" customWidth="1"/>
    <col min="1035" max="1035" width="11.33203125" style="139" customWidth="1"/>
    <col min="1036" max="1036" width="10" style="139" customWidth="1"/>
    <col min="1037" max="1271" width="9.1640625" style="139"/>
    <col min="1272" max="1272" width="41.1640625" style="139" customWidth="1"/>
    <col min="1273" max="1274" width="9.6640625" style="139" customWidth="1"/>
    <col min="1275" max="1276" width="10.5" style="139" customWidth="1"/>
    <col min="1277" max="1278" width="9.6640625" style="139" customWidth="1"/>
    <col min="1279" max="1279" width="9.1640625" style="139"/>
    <col min="1280" max="1280" width="10.33203125" style="139" customWidth="1"/>
    <col min="1281" max="1282" width="9.1640625" style="139"/>
    <col min="1283" max="1286" width="10.33203125" style="139" customWidth="1"/>
    <col min="1287" max="1290" width="10.1640625" style="139" customWidth="1"/>
    <col min="1291" max="1291" width="11.33203125" style="139" customWidth="1"/>
    <col min="1292" max="1292" width="10" style="139" customWidth="1"/>
    <col min="1293" max="1527" width="9.1640625" style="139"/>
    <col min="1528" max="1528" width="41.1640625" style="139" customWidth="1"/>
    <col min="1529" max="1530" width="9.6640625" style="139" customWidth="1"/>
    <col min="1531" max="1532" width="10.5" style="139" customWidth="1"/>
    <col min="1533" max="1534" width="9.6640625" style="139" customWidth="1"/>
    <col min="1535" max="1535" width="9.1640625" style="139"/>
    <col min="1536" max="1536" width="10.33203125" style="139" customWidth="1"/>
    <col min="1537" max="1538" width="9.1640625" style="139"/>
    <col min="1539" max="1542" width="10.33203125" style="139" customWidth="1"/>
    <col min="1543" max="1546" width="10.1640625" style="139" customWidth="1"/>
    <col min="1547" max="1547" width="11.33203125" style="139" customWidth="1"/>
    <col min="1548" max="1548" width="10" style="139" customWidth="1"/>
    <col min="1549" max="1783" width="9.1640625" style="139"/>
    <col min="1784" max="1784" width="41.1640625" style="139" customWidth="1"/>
    <col min="1785" max="1786" width="9.6640625" style="139" customWidth="1"/>
    <col min="1787" max="1788" width="10.5" style="139" customWidth="1"/>
    <col min="1789" max="1790" width="9.6640625" style="139" customWidth="1"/>
    <col min="1791" max="1791" width="9.1640625" style="139"/>
    <col min="1792" max="1792" width="10.33203125" style="139" customWidth="1"/>
    <col min="1793" max="1794" width="9.1640625" style="139"/>
    <col min="1795" max="1798" width="10.33203125" style="139" customWidth="1"/>
    <col min="1799" max="1802" width="10.1640625" style="139" customWidth="1"/>
    <col min="1803" max="1803" width="11.33203125" style="139" customWidth="1"/>
    <col min="1804" max="1804" width="10" style="139" customWidth="1"/>
    <col min="1805" max="2039" width="9.1640625" style="139"/>
    <col min="2040" max="2040" width="41.1640625" style="139" customWidth="1"/>
    <col min="2041" max="2042" width="9.6640625" style="139" customWidth="1"/>
    <col min="2043" max="2044" width="10.5" style="139" customWidth="1"/>
    <col min="2045" max="2046" width="9.6640625" style="139" customWidth="1"/>
    <col min="2047" max="2047" width="9.1640625" style="139"/>
    <col min="2048" max="2048" width="10.33203125" style="139" customWidth="1"/>
    <col min="2049" max="2050" width="9.1640625" style="139"/>
    <col min="2051" max="2054" width="10.33203125" style="139" customWidth="1"/>
    <col min="2055" max="2058" width="10.1640625" style="139" customWidth="1"/>
    <col min="2059" max="2059" width="11.33203125" style="139" customWidth="1"/>
    <col min="2060" max="2060" width="10" style="139" customWidth="1"/>
    <col min="2061" max="2295" width="9.1640625" style="139"/>
    <col min="2296" max="2296" width="41.1640625" style="139" customWidth="1"/>
    <col min="2297" max="2298" width="9.6640625" style="139" customWidth="1"/>
    <col min="2299" max="2300" width="10.5" style="139" customWidth="1"/>
    <col min="2301" max="2302" width="9.6640625" style="139" customWidth="1"/>
    <col min="2303" max="2303" width="9.1640625" style="139"/>
    <col min="2304" max="2304" width="10.33203125" style="139" customWidth="1"/>
    <col min="2305" max="2306" width="9.1640625" style="139"/>
    <col min="2307" max="2310" width="10.33203125" style="139" customWidth="1"/>
    <col min="2311" max="2314" width="10.1640625" style="139" customWidth="1"/>
    <col min="2315" max="2315" width="11.33203125" style="139" customWidth="1"/>
    <col min="2316" max="2316" width="10" style="139" customWidth="1"/>
    <col min="2317" max="2551" width="9.1640625" style="139"/>
    <col min="2552" max="2552" width="41.1640625" style="139" customWidth="1"/>
    <col min="2553" max="2554" width="9.6640625" style="139" customWidth="1"/>
    <col min="2555" max="2556" width="10.5" style="139" customWidth="1"/>
    <col min="2557" max="2558" width="9.6640625" style="139" customWidth="1"/>
    <col min="2559" max="2559" width="9.1640625" style="139"/>
    <col min="2560" max="2560" width="10.33203125" style="139" customWidth="1"/>
    <col min="2561" max="2562" width="9.1640625" style="139"/>
    <col min="2563" max="2566" width="10.33203125" style="139" customWidth="1"/>
    <col min="2567" max="2570" width="10.1640625" style="139" customWidth="1"/>
    <col min="2571" max="2571" width="11.33203125" style="139" customWidth="1"/>
    <col min="2572" max="2572" width="10" style="139" customWidth="1"/>
    <col min="2573" max="2807" width="9.1640625" style="139"/>
    <col min="2808" max="2808" width="41.1640625" style="139" customWidth="1"/>
    <col min="2809" max="2810" width="9.6640625" style="139" customWidth="1"/>
    <col min="2811" max="2812" width="10.5" style="139" customWidth="1"/>
    <col min="2813" max="2814" width="9.6640625" style="139" customWidth="1"/>
    <col min="2815" max="2815" width="9.1640625" style="139"/>
    <col min="2816" max="2816" width="10.33203125" style="139" customWidth="1"/>
    <col min="2817" max="2818" width="9.1640625" style="139"/>
    <col min="2819" max="2822" width="10.33203125" style="139" customWidth="1"/>
    <col min="2823" max="2826" width="10.1640625" style="139" customWidth="1"/>
    <col min="2827" max="2827" width="11.33203125" style="139" customWidth="1"/>
    <col min="2828" max="2828" width="10" style="139" customWidth="1"/>
    <col min="2829" max="3063" width="9.1640625" style="139"/>
    <col min="3064" max="3064" width="41.1640625" style="139" customWidth="1"/>
    <col min="3065" max="3066" width="9.6640625" style="139" customWidth="1"/>
    <col min="3067" max="3068" width="10.5" style="139" customWidth="1"/>
    <col min="3069" max="3070" width="9.6640625" style="139" customWidth="1"/>
    <col min="3071" max="3071" width="9.1640625" style="139"/>
    <col min="3072" max="3072" width="10.33203125" style="139" customWidth="1"/>
    <col min="3073" max="3074" width="9.1640625" style="139"/>
    <col min="3075" max="3078" width="10.33203125" style="139" customWidth="1"/>
    <col min="3079" max="3082" width="10.1640625" style="139" customWidth="1"/>
    <col min="3083" max="3083" width="11.33203125" style="139" customWidth="1"/>
    <col min="3084" max="3084" width="10" style="139" customWidth="1"/>
    <col min="3085" max="3319" width="9.1640625" style="139"/>
    <col min="3320" max="3320" width="41.1640625" style="139" customWidth="1"/>
    <col min="3321" max="3322" width="9.6640625" style="139" customWidth="1"/>
    <col min="3323" max="3324" width="10.5" style="139" customWidth="1"/>
    <col min="3325" max="3326" width="9.6640625" style="139" customWidth="1"/>
    <col min="3327" max="3327" width="9.1640625" style="139"/>
    <col min="3328" max="3328" width="10.33203125" style="139" customWidth="1"/>
    <col min="3329" max="3330" width="9.1640625" style="139"/>
    <col min="3331" max="3334" width="10.33203125" style="139" customWidth="1"/>
    <col min="3335" max="3338" width="10.1640625" style="139" customWidth="1"/>
    <col min="3339" max="3339" width="11.33203125" style="139" customWidth="1"/>
    <col min="3340" max="3340" width="10" style="139" customWidth="1"/>
    <col min="3341" max="3575" width="9.1640625" style="139"/>
    <col min="3576" max="3576" width="41.1640625" style="139" customWidth="1"/>
    <col min="3577" max="3578" width="9.6640625" style="139" customWidth="1"/>
    <col min="3579" max="3580" width="10.5" style="139" customWidth="1"/>
    <col min="3581" max="3582" width="9.6640625" style="139" customWidth="1"/>
    <col min="3583" max="3583" width="9.1640625" style="139"/>
    <col min="3584" max="3584" width="10.33203125" style="139" customWidth="1"/>
    <col min="3585" max="3586" width="9.1640625" style="139"/>
    <col min="3587" max="3590" width="10.33203125" style="139" customWidth="1"/>
    <col min="3591" max="3594" width="10.1640625" style="139" customWidth="1"/>
    <col min="3595" max="3595" width="11.33203125" style="139" customWidth="1"/>
    <col min="3596" max="3596" width="10" style="139" customWidth="1"/>
    <col min="3597" max="3831" width="9.1640625" style="139"/>
    <col min="3832" max="3832" width="41.1640625" style="139" customWidth="1"/>
    <col min="3833" max="3834" width="9.6640625" style="139" customWidth="1"/>
    <col min="3835" max="3836" width="10.5" style="139" customWidth="1"/>
    <col min="3837" max="3838" width="9.6640625" style="139" customWidth="1"/>
    <col min="3839" max="3839" width="9.1640625" style="139"/>
    <col min="3840" max="3840" width="10.33203125" style="139" customWidth="1"/>
    <col min="3841" max="3842" width="9.1640625" style="139"/>
    <col min="3843" max="3846" width="10.33203125" style="139" customWidth="1"/>
    <col min="3847" max="3850" width="10.1640625" style="139" customWidth="1"/>
    <col min="3851" max="3851" width="11.33203125" style="139" customWidth="1"/>
    <col min="3852" max="3852" width="10" style="139" customWidth="1"/>
    <col min="3853" max="4087" width="9.1640625" style="139"/>
    <col min="4088" max="4088" width="41.1640625" style="139" customWidth="1"/>
    <col min="4089" max="4090" width="9.6640625" style="139" customWidth="1"/>
    <col min="4091" max="4092" width="10.5" style="139" customWidth="1"/>
    <col min="4093" max="4094" width="9.6640625" style="139" customWidth="1"/>
    <col min="4095" max="4095" width="9.1640625" style="139"/>
    <col min="4096" max="4096" width="10.33203125" style="139" customWidth="1"/>
    <col min="4097" max="4098" width="9.1640625" style="139"/>
    <col min="4099" max="4102" width="10.33203125" style="139" customWidth="1"/>
    <col min="4103" max="4106" width="10.1640625" style="139" customWidth="1"/>
    <col min="4107" max="4107" width="11.33203125" style="139" customWidth="1"/>
    <col min="4108" max="4108" width="10" style="139" customWidth="1"/>
    <col min="4109" max="4343" width="9.1640625" style="139"/>
    <col min="4344" max="4344" width="41.1640625" style="139" customWidth="1"/>
    <col min="4345" max="4346" width="9.6640625" style="139" customWidth="1"/>
    <col min="4347" max="4348" width="10.5" style="139" customWidth="1"/>
    <col min="4349" max="4350" width="9.6640625" style="139" customWidth="1"/>
    <col min="4351" max="4351" width="9.1640625" style="139"/>
    <col min="4352" max="4352" width="10.33203125" style="139" customWidth="1"/>
    <col min="4353" max="4354" width="9.1640625" style="139"/>
    <col min="4355" max="4358" width="10.33203125" style="139" customWidth="1"/>
    <col min="4359" max="4362" width="10.1640625" style="139" customWidth="1"/>
    <col min="4363" max="4363" width="11.33203125" style="139" customWidth="1"/>
    <col min="4364" max="4364" width="10" style="139" customWidth="1"/>
    <col min="4365" max="4599" width="9.1640625" style="139"/>
    <col min="4600" max="4600" width="41.1640625" style="139" customWidth="1"/>
    <col min="4601" max="4602" width="9.6640625" style="139" customWidth="1"/>
    <col min="4603" max="4604" width="10.5" style="139" customWidth="1"/>
    <col min="4605" max="4606" width="9.6640625" style="139" customWidth="1"/>
    <col min="4607" max="4607" width="9.1640625" style="139"/>
    <col min="4608" max="4608" width="10.33203125" style="139" customWidth="1"/>
    <col min="4609" max="4610" width="9.1640625" style="139"/>
    <col min="4611" max="4614" width="10.33203125" style="139" customWidth="1"/>
    <col min="4615" max="4618" width="10.1640625" style="139" customWidth="1"/>
    <col min="4619" max="4619" width="11.33203125" style="139" customWidth="1"/>
    <col min="4620" max="4620" width="10" style="139" customWidth="1"/>
    <col min="4621" max="4855" width="9.1640625" style="139"/>
    <col min="4856" max="4856" width="41.1640625" style="139" customWidth="1"/>
    <col min="4857" max="4858" width="9.6640625" style="139" customWidth="1"/>
    <col min="4859" max="4860" width="10.5" style="139" customWidth="1"/>
    <col min="4861" max="4862" width="9.6640625" style="139" customWidth="1"/>
    <col min="4863" max="4863" width="9.1640625" style="139"/>
    <col min="4864" max="4864" width="10.33203125" style="139" customWidth="1"/>
    <col min="4865" max="4866" width="9.1640625" style="139"/>
    <col min="4867" max="4870" width="10.33203125" style="139" customWidth="1"/>
    <col min="4871" max="4874" width="10.1640625" style="139" customWidth="1"/>
    <col min="4875" max="4875" width="11.33203125" style="139" customWidth="1"/>
    <col min="4876" max="4876" width="10" style="139" customWidth="1"/>
    <col min="4877" max="5111" width="9.1640625" style="139"/>
    <col min="5112" max="5112" width="41.1640625" style="139" customWidth="1"/>
    <col min="5113" max="5114" width="9.6640625" style="139" customWidth="1"/>
    <col min="5115" max="5116" width="10.5" style="139" customWidth="1"/>
    <col min="5117" max="5118" width="9.6640625" style="139" customWidth="1"/>
    <col min="5119" max="5119" width="9.1640625" style="139"/>
    <col min="5120" max="5120" width="10.33203125" style="139" customWidth="1"/>
    <col min="5121" max="5122" width="9.1640625" style="139"/>
    <col min="5123" max="5126" width="10.33203125" style="139" customWidth="1"/>
    <col min="5127" max="5130" width="10.1640625" style="139" customWidth="1"/>
    <col min="5131" max="5131" width="11.33203125" style="139" customWidth="1"/>
    <col min="5132" max="5132" width="10" style="139" customWidth="1"/>
    <col min="5133" max="5367" width="9.1640625" style="139"/>
    <col min="5368" max="5368" width="41.1640625" style="139" customWidth="1"/>
    <col min="5369" max="5370" width="9.6640625" style="139" customWidth="1"/>
    <col min="5371" max="5372" width="10.5" style="139" customWidth="1"/>
    <col min="5373" max="5374" width="9.6640625" style="139" customWidth="1"/>
    <col min="5375" max="5375" width="9.1640625" style="139"/>
    <col min="5376" max="5376" width="10.33203125" style="139" customWidth="1"/>
    <col min="5377" max="5378" width="9.1640625" style="139"/>
    <col min="5379" max="5382" width="10.33203125" style="139" customWidth="1"/>
    <col min="5383" max="5386" width="10.1640625" style="139" customWidth="1"/>
    <col min="5387" max="5387" width="11.33203125" style="139" customWidth="1"/>
    <col min="5388" max="5388" width="10" style="139" customWidth="1"/>
    <col min="5389" max="5623" width="9.1640625" style="139"/>
    <col min="5624" max="5624" width="41.1640625" style="139" customWidth="1"/>
    <col min="5625" max="5626" width="9.6640625" style="139" customWidth="1"/>
    <col min="5627" max="5628" width="10.5" style="139" customWidth="1"/>
    <col min="5629" max="5630" width="9.6640625" style="139" customWidth="1"/>
    <col min="5631" max="5631" width="9.1640625" style="139"/>
    <col min="5632" max="5632" width="10.33203125" style="139" customWidth="1"/>
    <col min="5633" max="5634" width="9.1640625" style="139"/>
    <col min="5635" max="5638" width="10.33203125" style="139" customWidth="1"/>
    <col min="5639" max="5642" width="10.1640625" style="139" customWidth="1"/>
    <col min="5643" max="5643" width="11.33203125" style="139" customWidth="1"/>
    <col min="5644" max="5644" width="10" style="139" customWidth="1"/>
    <col min="5645" max="5879" width="9.1640625" style="139"/>
    <col min="5880" max="5880" width="41.1640625" style="139" customWidth="1"/>
    <col min="5881" max="5882" width="9.6640625" style="139" customWidth="1"/>
    <col min="5883" max="5884" width="10.5" style="139" customWidth="1"/>
    <col min="5885" max="5886" width="9.6640625" style="139" customWidth="1"/>
    <col min="5887" max="5887" width="9.1640625" style="139"/>
    <col min="5888" max="5888" width="10.33203125" style="139" customWidth="1"/>
    <col min="5889" max="5890" width="9.1640625" style="139"/>
    <col min="5891" max="5894" width="10.33203125" style="139" customWidth="1"/>
    <col min="5895" max="5898" width="10.1640625" style="139" customWidth="1"/>
    <col min="5899" max="5899" width="11.33203125" style="139" customWidth="1"/>
    <col min="5900" max="5900" width="10" style="139" customWidth="1"/>
    <col min="5901" max="6135" width="9.1640625" style="139"/>
    <col min="6136" max="6136" width="41.1640625" style="139" customWidth="1"/>
    <col min="6137" max="6138" width="9.6640625" style="139" customWidth="1"/>
    <col min="6139" max="6140" width="10.5" style="139" customWidth="1"/>
    <col min="6141" max="6142" width="9.6640625" style="139" customWidth="1"/>
    <col min="6143" max="6143" width="9.1640625" style="139"/>
    <col min="6144" max="6144" width="10.33203125" style="139" customWidth="1"/>
    <col min="6145" max="6146" width="9.1640625" style="139"/>
    <col min="6147" max="6150" width="10.33203125" style="139" customWidth="1"/>
    <col min="6151" max="6154" width="10.1640625" style="139" customWidth="1"/>
    <col min="6155" max="6155" width="11.33203125" style="139" customWidth="1"/>
    <col min="6156" max="6156" width="10" style="139" customWidth="1"/>
    <col min="6157" max="6391" width="9.1640625" style="139"/>
    <col min="6392" max="6392" width="41.1640625" style="139" customWidth="1"/>
    <col min="6393" max="6394" width="9.6640625" style="139" customWidth="1"/>
    <col min="6395" max="6396" width="10.5" style="139" customWidth="1"/>
    <col min="6397" max="6398" width="9.6640625" style="139" customWidth="1"/>
    <col min="6399" max="6399" width="9.1640625" style="139"/>
    <col min="6400" max="6400" width="10.33203125" style="139" customWidth="1"/>
    <col min="6401" max="6402" width="9.1640625" style="139"/>
    <col min="6403" max="6406" width="10.33203125" style="139" customWidth="1"/>
    <col min="6407" max="6410" width="10.1640625" style="139" customWidth="1"/>
    <col min="6411" max="6411" width="11.33203125" style="139" customWidth="1"/>
    <col min="6412" max="6412" width="10" style="139" customWidth="1"/>
    <col min="6413" max="6647" width="9.1640625" style="139"/>
    <col min="6648" max="6648" width="41.1640625" style="139" customWidth="1"/>
    <col min="6649" max="6650" width="9.6640625" style="139" customWidth="1"/>
    <col min="6651" max="6652" width="10.5" style="139" customWidth="1"/>
    <col min="6653" max="6654" width="9.6640625" style="139" customWidth="1"/>
    <col min="6655" max="6655" width="9.1640625" style="139"/>
    <col min="6656" max="6656" width="10.33203125" style="139" customWidth="1"/>
    <col min="6657" max="6658" width="9.1640625" style="139"/>
    <col min="6659" max="6662" width="10.33203125" style="139" customWidth="1"/>
    <col min="6663" max="6666" width="10.1640625" style="139" customWidth="1"/>
    <col min="6667" max="6667" width="11.33203125" style="139" customWidth="1"/>
    <col min="6668" max="6668" width="10" style="139" customWidth="1"/>
    <col min="6669" max="6903" width="9.1640625" style="139"/>
    <col min="6904" max="6904" width="41.1640625" style="139" customWidth="1"/>
    <col min="6905" max="6906" width="9.6640625" style="139" customWidth="1"/>
    <col min="6907" max="6908" width="10.5" style="139" customWidth="1"/>
    <col min="6909" max="6910" width="9.6640625" style="139" customWidth="1"/>
    <col min="6911" max="6911" width="9.1640625" style="139"/>
    <col min="6912" max="6912" width="10.33203125" style="139" customWidth="1"/>
    <col min="6913" max="6914" width="9.1640625" style="139"/>
    <col min="6915" max="6918" width="10.33203125" style="139" customWidth="1"/>
    <col min="6919" max="6922" width="10.1640625" style="139" customWidth="1"/>
    <col min="6923" max="6923" width="11.33203125" style="139" customWidth="1"/>
    <col min="6924" max="6924" width="10" style="139" customWidth="1"/>
    <col min="6925" max="7159" width="9.1640625" style="139"/>
    <col min="7160" max="7160" width="41.1640625" style="139" customWidth="1"/>
    <col min="7161" max="7162" width="9.6640625" style="139" customWidth="1"/>
    <col min="7163" max="7164" width="10.5" style="139" customWidth="1"/>
    <col min="7165" max="7166" width="9.6640625" style="139" customWidth="1"/>
    <col min="7167" max="7167" width="9.1640625" style="139"/>
    <col min="7168" max="7168" width="10.33203125" style="139" customWidth="1"/>
    <col min="7169" max="7170" width="9.1640625" style="139"/>
    <col min="7171" max="7174" width="10.33203125" style="139" customWidth="1"/>
    <col min="7175" max="7178" width="10.1640625" style="139" customWidth="1"/>
    <col min="7179" max="7179" width="11.33203125" style="139" customWidth="1"/>
    <col min="7180" max="7180" width="10" style="139" customWidth="1"/>
    <col min="7181" max="7415" width="9.1640625" style="139"/>
    <col min="7416" max="7416" width="41.1640625" style="139" customWidth="1"/>
    <col min="7417" max="7418" width="9.6640625" style="139" customWidth="1"/>
    <col min="7419" max="7420" width="10.5" style="139" customWidth="1"/>
    <col min="7421" max="7422" width="9.6640625" style="139" customWidth="1"/>
    <col min="7423" max="7423" width="9.1640625" style="139"/>
    <col min="7424" max="7424" width="10.33203125" style="139" customWidth="1"/>
    <col min="7425" max="7426" width="9.1640625" style="139"/>
    <col min="7427" max="7430" width="10.33203125" style="139" customWidth="1"/>
    <col min="7431" max="7434" width="10.1640625" style="139" customWidth="1"/>
    <col min="7435" max="7435" width="11.33203125" style="139" customWidth="1"/>
    <col min="7436" max="7436" width="10" style="139" customWidth="1"/>
    <col min="7437" max="7671" width="9.1640625" style="139"/>
    <col min="7672" max="7672" width="41.1640625" style="139" customWidth="1"/>
    <col min="7673" max="7674" width="9.6640625" style="139" customWidth="1"/>
    <col min="7675" max="7676" width="10.5" style="139" customWidth="1"/>
    <col min="7677" max="7678" width="9.6640625" style="139" customWidth="1"/>
    <col min="7679" max="7679" width="9.1640625" style="139"/>
    <col min="7680" max="7680" width="10.33203125" style="139" customWidth="1"/>
    <col min="7681" max="7682" width="9.1640625" style="139"/>
    <col min="7683" max="7686" width="10.33203125" style="139" customWidth="1"/>
    <col min="7687" max="7690" width="10.1640625" style="139" customWidth="1"/>
    <col min="7691" max="7691" width="11.33203125" style="139" customWidth="1"/>
    <col min="7692" max="7692" width="10" style="139" customWidth="1"/>
    <col min="7693" max="7927" width="9.1640625" style="139"/>
    <col min="7928" max="7928" width="41.1640625" style="139" customWidth="1"/>
    <col min="7929" max="7930" width="9.6640625" style="139" customWidth="1"/>
    <col min="7931" max="7932" width="10.5" style="139" customWidth="1"/>
    <col min="7933" max="7934" width="9.6640625" style="139" customWidth="1"/>
    <col min="7935" max="7935" width="9.1640625" style="139"/>
    <col min="7936" max="7936" width="10.33203125" style="139" customWidth="1"/>
    <col min="7937" max="7938" width="9.1640625" style="139"/>
    <col min="7939" max="7942" width="10.33203125" style="139" customWidth="1"/>
    <col min="7943" max="7946" width="10.1640625" style="139" customWidth="1"/>
    <col min="7947" max="7947" width="11.33203125" style="139" customWidth="1"/>
    <col min="7948" max="7948" width="10" style="139" customWidth="1"/>
    <col min="7949" max="8183" width="9.1640625" style="139"/>
    <col min="8184" max="8184" width="41.1640625" style="139" customWidth="1"/>
    <col min="8185" max="8186" width="9.6640625" style="139" customWidth="1"/>
    <col min="8187" max="8188" width="10.5" style="139" customWidth="1"/>
    <col min="8189" max="8190" width="9.6640625" style="139" customWidth="1"/>
    <col min="8191" max="8191" width="9.1640625" style="139"/>
    <col min="8192" max="8192" width="10.33203125" style="139" customWidth="1"/>
    <col min="8193" max="8194" width="9.1640625" style="139"/>
    <col min="8195" max="8198" width="10.33203125" style="139" customWidth="1"/>
    <col min="8199" max="8202" width="10.1640625" style="139" customWidth="1"/>
    <col min="8203" max="8203" width="11.33203125" style="139" customWidth="1"/>
    <col min="8204" max="8204" width="10" style="139" customWidth="1"/>
    <col min="8205" max="8439" width="9.1640625" style="139"/>
    <col min="8440" max="8440" width="41.1640625" style="139" customWidth="1"/>
    <col min="8441" max="8442" width="9.6640625" style="139" customWidth="1"/>
    <col min="8443" max="8444" width="10.5" style="139" customWidth="1"/>
    <col min="8445" max="8446" width="9.6640625" style="139" customWidth="1"/>
    <col min="8447" max="8447" width="9.1640625" style="139"/>
    <col min="8448" max="8448" width="10.33203125" style="139" customWidth="1"/>
    <col min="8449" max="8450" width="9.1640625" style="139"/>
    <col min="8451" max="8454" width="10.33203125" style="139" customWidth="1"/>
    <col min="8455" max="8458" width="10.1640625" style="139" customWidth="1"/>
    <col min="8459" max="8459" width="11.33203125" style="139" customWidth="1"/>
    <col min="8460" max="8460" width="10" style="139" customWidth="1"/>
    <col min="8461" max="8695" width="9.1640625" style="139"/>
    <col min="8696" max="8696" width="41.1640625" style="139" customWidth="1"/>
    <col min="8697" max="8698" width="9.6640625" style="139" customWidth="1"/>
    <col min="8699" max="8700" width="10.5" style="139" customWidth="1"/>
    <col min="8701" max="8702" width="9.6640625" style="139" customWidth="1"/>
    <col min="8703" max="8703" width="9.1640625" style="139"/>
    <col min="8704" max="8704" width="10.33203125" style="139" customWidth="1"/>
    <col min="8705" max="8706" width="9.1640625" style="139"/>
    <col min="8707" max="8710" width="10.33203125" style="139" customWidth="1"/>
    <col min="8711" max="8714" width="10.1640625" style="139" customWidth="1"/>
    <col min="8715" max="8715" width="11.33203125" style="139" customWidth="1"/>
    <col min="8716" max="8716" width="10" style="139" customWidth="1"/>
    <col min="8717" max="8951" width="9.1640625" style="139"/>
    <col min="8952" max="8952" width="41.1640625" style="139" customWidth="1"/>
    <col min="8953" max="8954" width="9.6640625" style="139" customWidth="1"/>
    <col min="8955" max="8956" width="10.5" style="139" customWidth="1"/>
    <col min="8957" max="8958" width="9.6640625" style="139" customWidth="1"/>
    <col min="8959" max="8959" width="9.1640625" style="139"/>
    <col min="8960" max="8960" width="10.33203125" style="139" customWidth="1"/>
    <col min="8961" max="8962" width="9.1640625" style="139"/>
    <col min="8963" max="8966" width="10.33203125" style="139" customWidth="1"/>
    <col min="8967" max="8970" width="10.1640625" style="139" customWidth="1"/>
    <col min="8971" max="8971" width="11.33203125" style="139" customWidth="1"/>
    <col min="8972" max="8972" width="10" style="139" customWidth="1"/>
    <col min="8973" max="9207" width="9.1640625" style="139"/>
    <col min="9208" max="9208" width="41.1640625" style="139" customWidth="1"/>
    <col min="9209" max="9210" width="9.6640625" style="139" customWidth="1"/>
    <col min="9211" max="9212" width="10.5" style="139" customWidth="1"/>
    <col min="9213" max="9214" width="9.6640625" style="139" customWidth="1"/>
    <col min="9215" max="9215" width="9.1640625" style="139"/>
    <col min="9216" max="9216" width="10.33203125" style="139" customWidth="1"/>
    <col min="9217" max="9218" width="9.1640625" style="139"/>
    <col min="9219" max="9222" width="10.33203125" style="139" customWidth="1"/>
    <col min="9223" max="9226" width="10.1640625" style="139" customWidth="1"/>
    <col min="9227" max="9227" width="11.33203125" style="139" customWidth="1"/>
    <col min="9228" max="9228" width="10" style="139" customWidth="1"/>
    <col min="9229" max="9463" width="9.1640625" style="139"/>
    <col min="9464" max="9464" width="41.1640625" style="139" customWidth="1"/>
    <col min="9465" max="9466" width="9.6640625" style="139" customWidth="1"/>
    <col min="9467" max="9468" width="10.5" style="139" customWidth="1"/>
    <col min="9469" max="9470" width="9.6640625" style="139" customWidth="1"/>
    <col min="9471" max="9471" width="9.1640625" style="139"/>
    <col min="9472" max="9472" width="10.33203125" style="139" customWidth="1"/>
    <col min="9473" max="9474" width="9.1640625" style="139"/>
    <col min="9475" max="9478" width="10.33203125" style="139" customWidth="1"/>
    <col min="9479" max="9482" width="10.1640625" style="139" customWidth="1"/>
    <col min="9483" max="9483" width="11.33203125" style="139" customWidth="1"/>
    <col min="9484" max="9484" width="10" style="139" customWidth="1"/>
    <col min="9485" max="9719" width="9.1640625" style="139"/>
    <col min="9720" max="9720" width="41.1640625" style="139" customWidth="1"/>
    <col min="9721" max="9722" width="9.6640625" style="139" customWidth="1"/>
    <col min="9723" max="9724" width="10.5" style="139" customWidth="1"/>
    <col min="9725" max="9726" width="9.6640625" style="139" customWidth="1"/>
    <col min="9727" max="9727" width="9.1640625" style="139"/>
    <col min="9728" max="9728" width="10.33203125" style="139" customWidth="1"/>
    <col min="9729" max="9730" width="9.1640625" style="139"/>
    <col min="9731" max="9734" width="10.33203125" style="139" customWidth="1"/>
    <col min="9735" max="9738" width="10.1640625" style="139" customWidth="1"/>
    <col min="9739" max="9739" width="11.33203125" style="139" customWidth="1"/>
    <col min="9740" max="9740" width="10" style="139" customWidth="1"/>
    <col min="9741" max="9975" width="9.1640625" style="139"/>
    <col min="9976" max="9976" width="41.1640625" style="139" customWidth="1"/>
    <col min="9977" max="9978" width="9.6640625" style="139" customWidth="1"/>
    <col min="9979" max="9980" width="10.5" style="139" customWidth="1"/>
    <col min="9981" max="9982" width="9.6640625" style="139" customWidth="1"/>
    <col min="9983" max="9983" width="9.1640625" style="139"/>
    <col min="9984" max="9984" width="10.33203125" style="139" customWidth="1"/>
    <col min="9985" max="9986" width="9.1640625" style="139"/>
    <col min="9987" max="9990" width="10.33203125" style="139" customWidth="1"/>
    <col min="9991" max="9994" width="10.1640625" style="139" customWidth="1"/>
    <col min="9995" max="9995" width="11.33203125" style="139" customWidth="1"/>
    <col min="9996" max="9996" width="10" style="139" customWidth="1"/>
    <col min="9997" max="10231" width="9.1640625" style="139"/>
    <col min="10232" max="10232" width="41.1640625" style="139" customWidth="1"/>
    <col min="10233" max="10234" width="9.6640625" style="139" customWidth="1"/>
    <col min="10235" max="10236" width="10.5" style="139" customWidth="1"/>
    <col min="10237" max="10238" width="9.6640625" style="139" customWidth="1"/>
    <col min="10239" max="10239" width="9.1640625" style="139"/>
    <col min="10240" max="10240" width="10.33203125" style="139" customWidth="1"/>
    <col min="10241" max="10242" width="9.1640625" style="139"/>
    <col min="10243" max="10246" width="10.33203125" style="139" customWidth="1"/>
    <col min="10247" max="10250" width="10.1640625" style="139" customWidth="1"/>
    <col min="10251" max="10251" width="11.33203125" style="139" customWidth="1"/>
    <col min="10252" max="10252" width="10" style="139" customWidth="1"/>
    <col min="10253" max="10487" width="9.1640625" style="139"/>
    <col min="10488" max="10488" width="41.1640625" style="139" customWidth="1"/>
    <col min="10489" max="10490" width="9.6640625" style="139" customWidth="1"/>
    <col min="10491" max="10492" width="10.5" style="139" customWidth="1"/>
    <col min="10493" max="10494" width="9.6640625" style="139" customWidth="1"/>
    <col min="10495" max="10495" width="9.1640625" style="139"/>
    <col min="10496" max="10496" width="10.33203125" style="139" customWidth="1"/>
    <col min="10497" max="10498" width="9.1640625" style="139"/>
    <col min="10499" max="10502" width="10.33203125" style="139" customWidth="1"/>
    <col min="10503" max="10506" width="10.1640625" style="139" customWidth="1"/>
    <col min="10507" max="10507" width="11.33203125" style="139" customWidth="1"/>
    <col min="10508" max="10508" width="10" style="139" customWidth="1"/>
    <col min="10509" max="10743" width="9.1640625" style="139"/>
    <col min="10744" max="10744" width="41.1640625" style="139" customWidth="1"/>
    <col min="10745" max="10746" width="9.6640625" style="139" customWidth="1"/>
    <col min="10747" max="10748" width="10.5" style="139" customWidth="1"/>
    <col min="10749" max="10750" width="9.6640625" style="139" customWidth="1"/>
    <col min="10751" max="10751" width="9.1640625" style="139"/>
    <col min="10752" max="10752" width="10.33203125" style="139" customWidth="1"/>
    <col min="10753" max="10754" width="9.1640625" style="139"/>
    <col min="10755" max="10758" width="10.33203125" style="139" customWidth="1"/>
    <col min="10759" max="10762" width="10.1640625" style="139" customWidth="1"/>
    <col min="10763" max="10763" width="11.33203125" style="139" customWidth="1"/>
    <col min="10764" max="10764" width="10" style="139" customWidth="1"/>
    <col min="10765" max="10999" width="9.1640625" style="139"/>
    <col min="11000" max="11000" width="41.1640625" style="139" customWidth="1"/>
    <col min="11001" max="11002" width="9.6640625" style="139" customWidth="1"/>
    <col min="11003" max="11004" width="10.5" style="139" customWidth="1"/>
    <col min="11005" max="11006" width="9.6640625" style="139" customWidth="1"/>
    <col min="11007" max="11007" width="9.1640625" style="139"/>
    <col min="11008" max="11008" width="10.33203125" style="139" customWidth="1"/>
    <col min="11009" max="11010" width="9.1640625" style="139"/>
    <col min="11011" max="11014" width="10.33203125" style="139" customWidth="1"/>
    <col min="11015" max="11018" width="10.1640625" style="139" customWidth="1"/>
    <col min="11019" max="11019" width="11.33203125" style="139" customWidth="1"/>
    <col min="11020" max="11020" width="10" style="139" customWidth="1"/>
    <col min="11021" max="11255" width="9.1640625" style="139"/>
    <col min="11256" max="11256" width="41.1640625" style="139" customWidth="1"/>
    <col min="11257" max="11258" width="9.6640625" style="139" customWidth="1"/>
    <col min="11259" max="11260" width="10.5" style="139" customWidth="1"/>
    <col min="11261" max="11262" width="9.6640625" style="139" customWidth="1"/>
    <col min="11263" max="11263" width="9.1640625" style="139"/>
    <col min="11264" max="11264" width="10.33203125" style="139" customWidth="1"/>
    <col min="11265" max="11266" width="9.1640625" style="139"/>
    <col min="11267" max="11270" width="10.33203125" style="139" customWidth="1"/>
    <col min="11271" max="11274" width="10.1640625" style="139" customWidth="1"/>
    <col min="11275" max="11275" width="11.33203125" style="139" customWidth="1"/>
    <col min="11276" max="11276" width="10" style="139" customWidth="1"/>
    <col min="11277" max="11511" width="9.1640625" style="139"/>
    <col min="11512" max="11512" width="41.1640625" style="139" customWidth="1"/>
    <col min="11513" max="11514" width="9.6640625" style="139" customWidth="1"/>
    <col min="11515" max="11516" width="10.5" style="139" customWidth="1"/>
    <col min="11517" max="11518" width="9.6640625" style="139" customWidth="1"/>
    <col min="11519" max="11519" width="9.1640625" style="139"/>
    <col min="11520" max="11520" width="10.33203125" style="139" customWidth="1"/>
    <col min="11521" max="11522" width="9.1640625" style="139"/>
    <col min="11523" max="11526" width="10.33203125" style="139" customWidth="1"/>
    <col min="11527" max="11530" width="10.1640625" style="139" customWidth="1"/>
    <col min="11531" max="11531" width="11.33203125" style="139" customWidth="1"/>
    <col min="11532" max="11532" width="10" style="139" customWidth="1"/>
    <col min="11533" max="11767" width="9.1640625" style="139"/>
    <col min="11768" max="11768" width="41.1640625" style="139" customWidth="1"/>
    <col min="11769" max="11770" width="9.6640625" style="139" customWidth="1"/>
    <col min="11771" max="11772" width="10.5" style="139" customWidth="1"/>
    <col min="11773" max="11774" width="9.6640625" style="139" customWidth="1"/>
    <col min="11775" max="11775" width="9.1640625" style="139"/>
    <col min="11776" max="11776" width="10.33203125" style="139" customWidth="1"/>
    <col min="11777" max="11778" width="9.1640625" style="139"/>
    <col min="11779" max="11782" width="10.33203125" style="139" customWidth="1"/>
    <col min="11783" max="11786" width="10.1640625" style="139" customWidth="1"/>
    <col min="11787" max="11787" width="11.33203125" style="139" customWidth="1"/>
    <col min="11788" max="11788" width="10" style="139" customWidth="1"/>
    <col min="11789" max="12023" width="9.1640625" style="139"/>
    <col min="12024" max="12024" width="41.1640625" style="139" customWidth="1"/>
    <col min="12025" max="12026" width="9.6640625" style="139" customWidth="1"/>
    <col min="12027" max="12028" width="10.5" style="139" customWidth="1"/>
    <col min="12029" max="12030" width="9.6640625" style="139" customWidth="1"/>
    <col min="12031" max="12031" width="9.1640625" style="139"/>
    <col min="12032" max="12032" width="10.33203125" style="139" customWidth="1"/>
    <col min="12033" max="12034" width="9.1640625" style="139"/>
    <col min="12035" max="12038" width="10.33203125" style="139" customWidth="1"/>
    <col min="12039" max="12042" width="10.1640625" style="139" customWidth="1"/>
    <col min="12043" max="12043" width="11.33203125" style="139" customWidth="1"/>
    <col min="12044" max="12044" width="10" style="139" customWidth="1"/>
    <col min="12045" max="12279" width="9.1640625" style="139"/>
    <col min="12280" max="12280" width="41.1640625" style="139" customWidth="1"/>
    <col min="12281" max="12282" width="9.6640625" style="139" customWidth="1"/>
    <col min="12283" max="12284" width="10.5" style="139" customWidth="1"/>
    <col min="12285" max="12286" width="9.6640625" style="139" customWidth="1"/>
    <col min="12287" max="12287" width="9.1640625" style="139"/>
    <col min="12288" max="12288" width="10.33203125" style="139" customWidth="1"/>
    <col min="12289" max="12290" width="9.1640625" style="139"/>
    <col min="12291" max="12294" width="10.33203125" style="139" customWidth="1"/>
    <col min="12295" max="12298" width="10.1640625" style="139" customWidth="1"/>
    <col min="12299" max="12299" width="11.33203125" style="139" customWidth="1"/>
    <col min="12300" max="12300" width="10" style="139" customWidth="1"/>
    <col min="12301" max="12535" width="9.1640625" style="139"/>
    <col min="12536" max="12536" width="41.1640625" style="139" customWidth="1"/>
    <col min="12537" max="12538" width="9.6640625" style="139" customWidth="1"/>
    <col min="12539" max="12540" width="10.5" style="139" customWidth="1"/>
    <col min="12541" max="12542" width="9.6640625" style="139" customWidth="1"/>
    <col min="12543" max="12543" width="9.1640625" style="139"/>
    <col min="12544" max="12544" width="10.33203125" style="139" customWidth="1"/>
    <col min="12545" max="12546" width="9.1640625" style="139"/>
    <col min="12547" max="12550" width="10.33203125" style="139" customWidth="1"/>
    <col min="12551" max="12554" width="10.1640625" style="139" customWidth="1"/>
    <col min="12555" max="12555" width="11.33203125" style="139" customWidth="1"/>
    <col min="12556" max="12556" width="10" style="139" customWidth="1"/>
    <col min="12557" max="12791" width="9.1640625" style="139"/>
    <col min="12792" max="12792" width="41.1640625" style="139" customWidth="1"/>
    <col min="12793" max="12794" width="9.6640625" style="139" customWidth="1"/>
    <col min="12795" max="12796" width="10.5" style="139" customWidth="1"/>
    <col min="12797" max="12798" width="9.6640625" style="139" customWidth="1"/>
    <col min="12799" max="12799" width="9.1640625" style="139"/>
    <col min="12800" max="12800" width="10.33203125" style="139" customWidth="1"/>
    <col min="12801" max="12802" width="9.1640625" style="139"/>
    <col min="12803" max="12806" width="10.33203125" style="139" customWidth="1"/>
    <col min="12807" max="12810" width="10.1640625" style="139" customWidth="1"/>
    <col min="12811" max="12811" width="11.33203125" style="139" customWidth="1"/>
    <col min="12812" max="12812" width="10" style="139" customWidth="1"/>
    <col min="12813" max="13047" width="9.1640625" style="139"/>
    <col min="13048" max="13048" width="41.1640625" style="139" customWidth="1"/>
    <col min="13049" max="13050" width="9.6640625" style="139" customWidth="1"/>
    <col min="13051" max="13052" width="10.5" style="139" customWidth="1"/>
    <col min="13053" max="13054" width="9.6640625" style="139" customWidth="1"/>
    <col min="13055" max="13055" width="9.1640625" style="139"/>
    <col min="13056" max="13056" width="10.33203125" style="139" customWidth="1"/>
    <col min="13057" max="13058" width="9.1640625" style="139"/>
    <col min="13059" max="13062" width="10.33203125" style="139" customWidth="1"/>
    <col min="13063" max="13066" width="10.1640625" style="139" customWidth="1"/>
    <col min="13067" max="13067" width="11.33203125" style="139" customWidth="1"/>
    <col min="13068" max="13068" width="10" style="139" customWidth="1"/>
    <col min="13069" max="13303" width="9.1640625" style="139"/>
    <col min="13304" max="13304" width="41.1640625" style="139" customWidth="1"/>
    <col min="13305" max="13306" width="9.6640625" style="139" customWidth="1"/>
    <col min="13307" max="13308" width="10.5" style="139" customWidth="1"/>
    <col min="13309" max="13310" width="9.6640625" style="139" customWidth="1"/>
    <col min="13311" max="13311" width="9.1640625" style="139"/>
    <col min="13312" max="13312" width="10.33203125" style="139" customWidth="1"/>
    <col min="13313" max="13314" width="9.1640625" style="139"/>
    <col min="13315" max="13318" width="10.33203125" style="139" customWidth="1"/>
    <col min="13319" max="13322" width="10.1640625" style="139" customWidth="1"/>
    <col min="13323" max="13323" width="11.33203125" style="139" customWidth="1"/>
    <col min="13324" max="13324" width="10" style="139" customWidth="1"/>
    <col min="13325" max="13559" width="9.1640625" style="139"/>
    <col min="13560" max="13560" width="41.1640625" style="139" customWidth="1"/>
    <col min="13561" max="13562" width="9.6640625" style="139" customWidth="1"/>
    <col min="13563" max="13564" width="10.5" style="139" customWidth="1"/>
    <col min="13565" max="13566" width="9.6640625" style="139" customWidth="1"/>
    <col min="13567" max="13567" width="9.1640625" style="139"/>
    <col min="13568" max="13568" width="10.33203125" style="139" customWidth="1"/>
    <col min="13569" max="13570" width="9.1640625" style="139"/>
    <col min="13571" max="13574" width="10.33203125" style="139" customWidth="1"/>
    <col min="13575" max="13578" width="10.1640625" style="139" customWidth="1"/>
    <col min="13579" max="13579" width="11.33203125" style="139" customWidth="1"/>
    <col min="13580" max="13580" width="10" style="139" customWidth="1"/>
    <col min="13581" max="13815" width="9.1640625" style="139"/>
    <col min="13816" max="13816" width="41.1640625" style="139" customWidth="1"/>
    <col min="13817" max="13818" width="9.6640625" style="139" customWidth="1"/>
    <col min="13819" max="13820" width="10.5" style="139" customWidth="1"/>
    <col min="13821" max="13822" width="9.6640625" style="139" customWidth="1"/>
    <col min="13823" max="13823" width="9.1640625" style="139"/>
    <col min="13824" max="13824" width="10.33203125" style="139" customWidth="1"/>
    <col min="13825" max="13826" width="9.1640625" style="139"/>
    <col min="13827" max="13830" width="10.33203125" style="139" customWidth="1"/>
    <col min="13831" max="13834" width="10.1640625" style="139" customWidth="1"/>
    <col min="13835" max="13835" width="11.33203125" style="139" customWidth="1"/>
    <col min="13836" max="13836" width="10" style="139" customWidth="1"/>
    <col min="13837" max="14071" width="9.1640625" style="139"/>
    <col min="14072" max="14072" width="41.1640625" style="139" customWidth="1"/>
    <col min="14073" max="14074" width="9.6640625" style="139" customWidth="1"/>
    <col min="14075" max="14076" width="10.5" style="139" customWidth="1"/>
    <col min="14077" max="14078" width="9.6640625" style="139" customWidth="1"/>
    <col min="14079" max="14079" width="9.1640625" style="139"/>
    <col min="14080" max="14080" width="10.33203125" style="139" customWidth="1"/>
    <col min="14081" max="14082" width="9.1640625" style="139"/>
    <col min="14083" max="14086" width="10.33203125" style="139" customWidth="1"/>
    <col min="14087" max="14090" width="10.1640625" style="139" customWidth="1"/>
    <col min="14091" max="14091" width="11.33203125" style="139" customWidth="1"/>
    <col min="14092" max="14092" width="10" style="139" customWidth="1"/>
    <col min="14093" max="14327" width="9.1640625" style="139"/>
    <col min="14328" max="14328" width="41.1640625" style="139" customWidth="1"/>
    <col min="14329" max="14330" width="9.6640625" style="139" customWidth="1"/>
    <col min="14331" max="14332" width="10.5" style="139" customWidth="1"/>
    <col min="14333" max="14334" width="9.6640625" style="139" customWidth="1"/>
    <col min="14335" max="14335" width="9.1640625" style="139"/>
    <col min="14336" max="14336" width="10.33203125" style="139" customWidth="1"/>
    <col min="14337" max="14338" width="9.1640625" style="139"/>
    <col min="14339" max="14342" width="10.33203125" style="139" customWidth="1"/>
    <col min="14343" max="14346" width="10.1640625" style="139" customWidth="1"/>
    <col min="14347" max="14347" width="11.33203125" style="139" customWidth="1"/>
    <col min="14348" max="14348" width="10" style="139" customWidth="1"/>
    <col min="14349" max="14583" width="9.1640625" style="139"/>
    <col min="14584" max="14584" width="41.1640625" style="139" customWidth="1"/>
    <col min="14585" max="14586" width="9.6640625" style="139" customWidth="1"/>
    <col min="14587" max="14588" width="10.5" style="139" customWidth="1"/>
    <col min="14589" max="14590" width="9.6640625" style="139" customWidth="1"/>
    <col min="14591" max="14591" width="9.1640625" style="139"/>
    <col min="14592" max="14592" width="10.33203125" style="139" customWidth="1"/>
    <col min="14593" max="14594" width="9.1640625" style="139"/>
    <col min="14595" max="14598" width="10.33203125" style="139" customWidth="1"/>
    <col min="14599" max="14602" width="10.1640625" style="139" customWidth="1"/>
    <col min="14603" max="14603" width="11.33203125" style="139" customWidth="1"/>
    <col min="14604" max="14604" width="10" style="139" customWidth="1"/>
    <col min="14605" max="14839" width="9.1640625" style="139"/>
    <col min="14840" max="14840" width="41.1640625" style="139" customWidth="1"/>
    <col min="14841" max="14842" width="9.6640625" style="139" customWidth="1"/>
    <col min="14843" max="14844" width="10.5" style="139" customWidth="1"/>
    <col min="14845" max="14846" width="9.6640625" style="139" customWidth="1"/>
    <col min="14847" max="14847" width="9.1640625" style="139"/>
    <col min="14848" max="14848" width="10.33203125" style="139" customWidth="1"/>
    <col min="14849" max="14850" width="9.1640625" style="139"/>
    <col min="14851" max="14854" width="10.33203125" style="139" customWidth="1"/>
    <col min="14855" max="14858" width="10.1640625" style="139" customWidth="1"/>
    <col min="14859" max="14859" width="11.33203125" style="139" customWidth="1"/>
    <col min="14860" max="14860" width="10" style="139" customWidth="1"/>
    <col min="14861" max="15095" width="9.1640625" style="139"/>
    <col min="15096" max="15096" width="41.1640625" style="139" customWidth="1"/>
    <col min="15097" max="15098" width="9.6640625" style="139" customWidth="1"/>
    <col min="15099" max="15100" width="10.5" style="139" customWidth="1"/>
    <col min="15101" max="15102" width="9.6640625" style="139" customWidth="1"/>
    <col min="15103" max="15103" width="9.1640625" style="139"/>
    <col min="15104" max="15104" width="10.33203125" style="139" customWidth="1"/>
    <col min="15105" max="15106" width="9.1640625" style="139"/>
    <col min="15107" max="15110" width="10.33203125" style="139" customWidth="1"/>
    <col min="15111" max="15114" width="10.1640625" style="139" customWidth="1"/>
    <col min="15115" max="15115" width="11.33203125" style="139" customWidth="1"/>
    <col min="15116" max="15116" width="10" style="139" customWidth="1"/>
    <col min="15117" max="15351" width="9.1640625" style="139"/>
    <col min="15352" max="15352" width="41.1640625" style="139" customWidth="1"/>
    <col min="15353" max="15354" width="9.6640625" style="139" customWidth="1"/>
    <col min="15355" max="15356" width="10.5" style="139" customWidth="1"/>
    <col min="15357" max="15358" width="9.6640625" style="139" customWidth="1"/>
    <col min="15359" max="15359" width="9.1640625" style="139"/>
    <col min="15360" max="15360" width="10.33203125" style="139" customWidth="1"/>
    <col min="15361" max="15362" width="9.1640625" style="139"/>
    <col min="15363" max="15366" width="10.33203125" style="139" customWidth="1"/>
    <col min="15367" max="15370" width="10.1640625" style="139" customWidth="1"/>
    <col min="15371" max="15371" width="11.33203125" style="139" customWidth="1"/>
    <col min="15372" max="15372" width="10" style="139" customWidth="1"/>
    <col min="15373" max="15607" width="9.1640625" style="139"/>
    <col min="15608" max="15608" width="41.1640625" style="139" customWidth="1"/>
    <col min="15609" max="15610" width="9.6640625" style="139" customWidth="1"/>
    <col min="15611" max="15612" width="10.5" style="139" customWidth="1"/>
    <col min="15613" max="15614" width="9.6640625" style="139" customWidth="1"/>
    <col min="15615" max="15615" width="9.1640625" style="139"/>
    <col min="15616" max="15616" width="10.33203125" style="139" customWidth="1"/>
    <col min="15617" max="15618" width="9.1640625" style="139"/>
    <col min="15619" max="15622" width="10.33203125" style="139" customWidth="1"/>
    <col min="15623" max="15626" width="10.1640625" style="139" customWidth="1"/>
    <col min="15627" max="15627" width="11.33203125" style="139" customWidth="1"/>
    <col min="15628" max="15628" width="10" style="139" customWidth="1"/>
    <col min="15629" max="15863" width="9.1640625" style="139"/>
    <col min="15864" max="15864" width="41.1640625" style="139" customWidth="1"/>
    <col min="15865" max="15866" width="9.6640625" style="139" customWidth="1"/>
    <col min="15867" max="15868" width="10.5" style="139" customWidth="1"/>
    <col min="15869" max="15870" width="9.6640625" style="139" customWidth="1"/>
    <col min="15871" max="15871" width="9.1640625" style="139"/>
    <col min="15872" max="15872" width="10.33203125" style="139" customWidth="1"/>
    <col min="15873" max="15874" width="9.1640625" style="139"/>
    <col min="15875" max="15878" width="10.33203125" style="139" customWidth="1"/>
    <col min="15879" max="15882" width="10.1640625" style="139" customWidth="1"/>
    <col min="15883" max="15883" width="11.33203125" style="139" customWidth="1"/>
    <col min="15884" max="15884" width="10" style="139" customWidth="1"/>
    <col min="15885" max="16119" width="9.1640625" style="139"/>
    <col min="16120" max="16120" width="41.1640625" style="139" customWidth="1"/>
    <col min="16121" max="16122" width="9.6640625" style="139" customWidth="1"/>
    <col min="16123" max="16124" width="10.5" style="139" customWidth="1"/>
    <col min="16125" max="16126" width="9.6640625" style="139" customWidth="1"/>
    <col min="16127" max="16127" width="9.1640625" style="139"/>
    <col min="16128" max="16128" width="10.33203125" style="139" customWidth="1"/>
    <col min="16129" max="16130" width="9.1640625" style="139"/>
    <col min="16131" max="16134" width="10.33203125" style="139" customWidth="1"/>
    <col min="16135" max="16138" width="10.1640625" style="139" customWidth="1"/>
    <col min="16139" max="16139" width="11.33203125" style="139" customWidth="1"/>
    <col min="16140" max="16140" width="10" style="139" customWidth="1"/>
    <col min="16141" max="16384" width="9.1640625" style="139"/>
  </cols>
  <sheetData>
    <row r="1" spans="1:33" ht="106" thickBot="1">
      <c r="A1" s="554" t="s">
        <v>351</v>
      </c>
      <c r="B1" s="555" t="s">
        <v>352</v>
      </c>
      <c r="C1" s="555" t="s">
        <v>353</v>
      </c>
      <c r="D1" s="556" t="s">
        <v>354</v>
      </c>
      <c r="E1" s="557" t="s">
        <v>355</v>
      </c>
      <c r="F1" s="557" t="s">
        <v>356</v>
      </c>
      <c r="G1" s="558" t="s">
        <v>357</v>
      </c>
      <c r="H1" s="557" t="s">
        <v>358</v>
      </c>
      <c r="I1" s="559" t="s">
        <v>278</v>
      </c>
      <c r="J1" s="560" t="s">
        <v>359</v>
      </c>
      <c r="K1" s="561" t="s">
        <v>360</v>
      </c>
      <c r="L1" s="557" t="s">
        <v>361</v>
      </c>
      <c r="M1" s="562" t="s">
        <v>362</v>
      </c>
    </row>
    <row r="2" spans="1:33">
      <c r="A2" s="146" t="s">
        <v>281</v>
      </c>
      <c r="B2" s="473">
        <v>2023</v>
      </c>
      <c r="C2" s="473">
        <v>2023</v>
      </c>
      <c r="D2" s="563">
        <v>2023</v>
      </c>
      <c r="E2" s="564">
        <v>2023</v>
      </c>
      <c r="F2" s="564">
        <v>2023</v>
      </c>
      <c r="G2" s="563">
        <v>2023</v>
      </c>
      <c r="H2" s="564">
        <v>2023</v>
      </c>
      <c r="I2" s="473">
        <v>2023</v>
      </c>
      <c r="J2" s="564">
        <v>2023</v>
      </c>
      <c r="K2" s="563">
        <v>2023</v>
      </c>
      <c r="L2" s="564">
        <v>2023</v>
      </c>
      <c r="M2" s="565">
        <v>2023</v>
      </c>
    </row>
    <row r="3" spans="1:33" s="494" customFormat="1">
      <c r="A3" s="566" t="s">
        <v>283</v>
      </c>
      <c r="B3" s="567"/>
      <c r="C3" s="567"/>
      <c r="D3" s="568"/>
      <c r="E3" s="569"/>
      <c r="F3" s="569"/>
      <c r="G3" s="568"/>
      <c r="H3" s="569"/>
      <c r="I3" s="567"/>
      <c r="J3" s="569"/>
      <c r="K3" s="568"/>
      <c r="L3" s="569"/>
      <c r="M3" s="570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spans="1:33" ht="15">
      <c r="A4" s="571" t="s">
        <v>363</v>
      </c>
      <c r="B4" s="497"/>
      <c r="C4" s="497"/>
      <c r="D4" s="572">
        <v>600</v>
      </c>
      <c r="E4" s="573">
        <v>200</v>
      </c>
      <c r="F4" s="573">
        <v>1250</v>
      </c>
      <c r="G4" s="572">
        <v>1100</v>
      </c>
      <c r="H4" s="573">
        <v>1250</v>
      </c>
      <c r="I4" s="497">
        <v>1150</v>
      </c>
      <c r="J4" s="573">
        <v>850</v>
      </c>
      <c r="K4" s="572">
        <v>1800</v>
      </c>
      <c r="L4" s="573"/>
      <c r="M4" s="501">
        <f>B4+C4+D4+E4+F4+G4+H4+I4+J4+K4</f>
        <v>8200</v>
      </c>
    </row>
    <row r="5" spans="1:33" ht="15">
      <c r="A5" s="571" t="s">
        <v>364</v>
      </c>
      <c r="B5" s="497"/>
      <c r="C5" s="497"/>
      <c r="D5" s="572">
        <v>300</v>
      </c>
      <c r="E5" s="573">
        <v>300</v>
      </c>
      <c r="F5" s="573"/>
      <c r="G5" s="572"/>
      <c r="H5" s="573"/>
      <c r="I5" s="497"/>
      <c r="J5" s="573">
        <v>2600</v>
      </c>
      <c r="K5" s="572">
        <v>2700</v>
      </c>
      <c r="L5" s="573">
        <v>160</v>
      </c>
      <c r="M5" s="501">
        <f t="shared" ref="M5:M30" si="0">B5+C5+D5+E5+F5+G5+H5+I5+J5+K5</f>
        <v>5900</v>
      </c>
    </row>
    <row r="6" spans="1:33" ht="15">
      <c r="A6" s="571" t="s">
        <v>365</v>
      </c>
      <c r="B6" s="497"/>
      <c r="C6" s="497"/>
      <c r="D6" s="572"/>
      <c r="E6" s="573"/>
      <c r="F6" s="573"/>
      <c r="G6" s="572"/>
      <c r="H6" s="573"/>
      <c r="I6" s="497"/>
      <c r="J6" s="573">
        <v>5000</v>
      </c>
      <c r="K6" s="572">
        <v>6300</v>
      </c>
      <c r="L6" s="573">
        <v>816.87</v>
      </c>
      <c r="M6" s="501">
        <f t="shared" si="0"/>
        <v>11300</v>
      </c>
    </row>
    <row r="7" spans="1:33" ht="15">
      <c r="A7" s="571" t="s">
        <v>366</v>
      </c>
      <c r="B7" s="497"/>
      <c r="C7" s="497"/>
      <c r="D7" s="572">
        <v>400</v>
      </c>
      <c r="E7" s="573">
        <v>80</v>
      </c>
      <c r="F7" s="573">
        <v>400</v>
      </c>
      <c r="G7" s="572">
        <v>250</v>
      </c>
      <c r="H7" s="573">
        <v>600</v>
      </c>
      <c r="I7" s="497">
        <v>500</v>
      </c>
      <c r="J7" s="573">
        <v>1250</v>
      </c>
      <c r="K7" s="572">
        <v>2600</v>
      </c>
      <c r="L7" s="573">
        <v>585</v>
      </c>
      <c r="M7" s="501">
        <f t="shared" si="0"/>
        <v>6080</v>
      </c>
    </row>
    <row r="8" spans="1:33" ht="15">
      <c r="A8" s="571" t="s">
        <v>367</v>
      </c>
      <c r="B8" s="497"/>
      <c r="C8" s="497"/>
      <c r="D8" s="572"/>
      <c r="E8" s="573"/>
      <c r="F8" s="573"/>
      <c r="G8" s="572"/>
      <c r="H8" s="573"/>
      <c r="I8" s="497"/>
      <c r="J8" s="573"/>
      <c r="K8" s="572"/>
      <c r="L8" s="573"/>
      <c r="M8" s="501">
        <f t="shared" si="0"/>
        <v>0</v>
      </c>
    </row>
    <row r="9" spans="1:33" ht="15">
      <c r="A9" s="571" t="s">
        <v>353</v>
      </c>
      <c r="B9" s="497"/>
      <c r="C9" s="497"/>
      <c r="D9" s="572"/>
      <c r="E9" s="573"/>
      <c r="F9" s="573"/>
      <c r="G9" s="572"/>
      <c r="H9" s="573"/>
      <c r="I9" s="497"/>
      <c r="J9" s="573"/>
      <c r="K9" s="572"/>
      <c r="L9" s="573"/>
      <c r="M9" s="501">
        <f t="shared" si="0"/>
        <v>0</v>
      </c>
    </row>
    <row r="10" spans="1:33" ht="15">
      <c r="A10" s="571" t="s">
        <v>368</v>
      </c>
      <c r="B10" s="497"/>
      <c r="C10" s="497"/>
      <c r="D10" s="572"/>
      <c r="E10" s="573"/>
      <c r="F10" s="573"/>
      <c r="G10" s="572"/>
      <c r="H10" s="573"/>
      <c r="I10" s="497"/>
      <c r="J10" s="573">
        <v>500</v>
      </c>
      <c r="K10" s="572">
        <v>1000</v>
      </c>
      <c r="L10" s="573"/>
      <c r="M10" s="501">
        <f t="shared" si="0"/>
        <v>1500</v>
      </c>
    </row>
    <row r="11" spans="1:33" ht="15">
      <c r="A11" s="571" t="s">
        <v>369</v>
      </c>
      <c r="B11" s="497"/>
      <c r="C11" s="497"/>
      <c r="D11" s="572"/>
      <c r="E11" s="573"/>
      <c r="F11" s="573"/>
      <c r="G11" s="572"/>
      <c r="H11" s="573"/>
      <c r="I11" s="497"/>
      <c r="J11" s="573"/>
      <c r="K11" s="572"/>
      <c r="L11" s="573"/>
      <c r="M11" s="501">
        <f t="shared" si="0"/>
        <v>0</v>
      </c>
    </row>
    <row r="12" spans="1:33" ht="15">
      <c r="A12" s="571" t="s">
        <v>370</v>
      </c>
      <c r="B12" s="497">
        <v>870</v>
      </c>
      <c r="C12" s="497"/>
      <c r="D12" s="572"/>
      <c r="E12" s="573"/>
      <c r="F12" s="573"/>
      <c r="G12" s="572"/>
      <c r="H12" s="573"/>
      <c r="I12" s="497"/>
      <c r="J12" s="573"/>
      <c r="K12" s="572"/>
      <c r="L12" s="573"/>
      <c r="M12" s="501">
        <f t="shared" si="0"/>
        <v>870</v>
      </c>
    </row>
    <row r="13" spans="1:33" ht="15">
      <c r="A13" s="571" t="s">
        <v>371</v>
      </c>
      <c r="B13" s="497">
        <v>1500</v>
      </c>
      <c r="C13" s="497"/>
      <c r="D13" s="572"/>
      <c r="E13" s="573"/>
      <c r="F13" s="573"/>
      <c r="G13" s="572"/>
      <c r="H13" s="573"/>
      <c r="I13" s="497"/>
      <c r="J13" s="573"/>
      <c r="K13" s="572"/>
      <c r="L13" s="573"/>
      <c r="M13" s="501">
        <f t="shared" si="0"/>
        <v>1500</v>
      </c>
    </row>
    <row r="14" spans="1:33" ht="15">
      <c r="A14" s="571" t="s">
        <v>372</v>
      </c>
      <c r="B14" s="497"/>
      <c r="C14" s="497">
        <v>1000</v>
      </c>
      <c r="D14" s="572"/>
      <c r="E14" s="573"/>
      <c r="F14" s="573"/>
      <c r="G14" s="572"/>
      <c r="H14" s="573"/>
      <c r="I14" s="497"/>
      <c r="J14" s="573"/>
      <c r="K14" s="572"/>
      <c r="L14" s="573"/>
      <c r="M14" s="501">
        <f t="shared" si="0"/>
        <v>1000</v>
      </c>
    </row>
    <row r="15" spans="1:33" ht="15">
      <c r="A15" s="571" t="s">
        <v>373</v>
      </c>
      <c r="B15" s="497"/>
      <c r="C15" s="497"/>
      <c r="D15" s="572"/>
      <c r="E15" s="573"/>
      <c r="F15" s="573"/>
      <c r="G15" s="572"/>
      <c r="H15" s="573"/>
      <c r="I15" s="497"/>
      <c r="J15" s="573"/>
      <c r="K15" s="572"/>
      <c r="L15" s="573"/>
      <c r="M15" s="501">
        <f t="shared" si="0"/>
        <v>0</v>
      </c>
    </row>
    <row r="16" spans="1:33" ht="15">
      <c r="A16" s="571" t="s">
        <v>374</v>
      </c>
      <c r="B16" s="497">
        <v>400</v>
      </c>
      <c r="C16" s="497"/>
      <c r="D16" s="572"/>
      <c r="E16" s="573"/>
      <c r="F16" s="573"/>
      <c r="G16" s="572"/>
      <c r="H16" s="573"/>
      <c r="I16" s="497"/>
      <c r="J16" s="573"/>
      <c r="K16" s="572"/>
      <c r="L16" s="573"/>
      <c r="M16" s="501">
        <f t="shared" si="0"/>
        <v>400</v>
      </c>
    </row>
    <row r="17" spans="1:33" ht="16" thickBot="1">
      <c r="A17" s="574" t="s">
        <v>375</v>
      </c>
      <c r="B17" s="575">
        <v>250</v>
      </c>
      <c r="C17" s="575"/>
      <c r="D17" s="576"/>
      <c r="E17" s="577"/>
      <c r="F17" s="577"/>
      <c r="G17" s="576"/>
      <c r="H17" s="577"/>
      <c r="I17" s="575"/>
      <c r="J17" s="577"/>
      <c r="K17" s="576"/>
      <c r="L17" s="577"/>
      <c r="M17" s="578">
        <f t="shared" si="0"/>
        <v>250</v>
      </c>
    </row>
    <row r="18" spans="1:33" s="518" customFormat="1" ht="15" thickBot="1">
      <c r="A18" s="579" t="s">
        <v>325</v>
      </c>
      <c r="B18" s="580">
        <f t="shared" ref="B18:L18" si="1">SUM(B4:B17)</f>
        <v>3020</v>
      </c>
      <c r="C18" s="580">
        <f t="shared" si="1"/>
        <v>1000</v>
      </c>
      <c r="D18" s="580">
        <f t="shared" si="1"/>
        <v>1300</v>
      </c>
      <c r="E18" s="581">
        <f t="shared" si="1"/>
        <v>580</v>
      </c>
      <c r="F18" s="581">
        <f t="shared" si="1"/>
        <v>1650</v>
      </c>
      <c r="G18" s="580">
        <f t="shared" si="1"/>
        <v>1350</v>
      </c>
      <c r="H18" s="582">
        <f t="shared" si="1"/>
        <v>1850</v>
      </c>
      <c r="I18" s="580">
        <f t="shared" si="1"/>
        <v>1650</v>
      </c>
      <c r="J18" s="581">
        <f t="shared" si="1"/>
        <v>10200</v>
      </c>
      <c r="K18" s="583">
        <f t="shared" si="1"/>
        <v>14400</v>
      </c>
      <c r="L18" s="584">
        <f t="shared" si="1"/>
        <v>1561.87</v>
      </c>
      <c r="M18" s="580">
        <f t="shared" si="0"/>
        <v>37000</v>
      </c>
      <c r="N18" s="517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</row>
    <row r="19" spans="1:33" s="494" customFormat="1">
      <c r="A19" s="585" t="s">
        <v>326</v>
      </c>
      <c r="B19" s="570"/>
      <c r="C19" s="570"/>
      <c r="D19" s="586"/>
      <c r="E19" s="587"/>
      <c r="F19" s="587"/>
      <c r="G19" s="586"/>
      <c r="H19" s="587"/>
      <c r="I19" s="570"/>
      <c r="J19" s="587"/>
      <c r="K19" s="586"/>
      <c r="L19" s="588"/>
      <c r="M19" s="589">
        <f>B19+C19+D19+E19+F19+G19+H19+I19+J19+K19</f>
        <v>0</v>
      </c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</row>
    <row r="20" spans="1:33">
      <c r="A20" s="590" t="s">
        <v>376</v>
      </c>
      <c r="B20" s="538"/>
      <c r="C20" s="538"/>
      <c r="D20" s="591">
        <v>660</v>
      </c>
      <c r="E20" s="592"/>
      <c r="F20" s="592">
        <v>1150</v>
      </c>
      <c r="G20" s="593"/>
      <c r="H20" s="592">
        <v>1250</v>
      </c>
      <c r="I20" s="538"/>
      <c r="J20" s="592">
        <v>2200</v>
      </c>
      <c r="K20" s="591">
        <v>2540</v>
      </c>
      <c r="L20" s="592"/>
      <c r="M20" s="501">
        <f t="shared" si="0"/>
        <v>7800</v>
      </c>
      <c r="N20" s="517"/>
    </row>
    <row r="21" spans="1:33">
      <c r="A21" s="590" t="s">
        <v>377</v>
      </c>
      <c r="B21" s="538"/>
      <c r="C21" s="538"/>
      <c r="D21" s="591"/>
      <c r="E21" s="592">
        <v>580</v>
      </c>
      <c r="F21" s="592"/>
      <c r="G21" s="593"/>
      <c r="H21" s="592"/>
      <c r="I21" s="538"/>
      <c r="J21" s="592">
        <v>1060</v>
      </c>
      <c r="K21" s="591">
        <v>1200</v>
      </c>
      <c r="L21" s="592"/>
      <c r="M21" s="501">
        <f t="shared" si="0"/>
        <v>2840</v>
      </c>
      <c r="N21" s="517"/>
    </row>
    <row r="22" spans="1:33">
      <c r="A22" s="594" t="s">
        <v>378</v>
      </c>
      <c r="B22" s="538"/>
      <c r="C22" s="538"/>
      <c r="D22" s="593">
        <f>300+340</f>
        <v>640</v>
      </c>
      <c r="E22" s="595"/>
      <c r="F22" s="595"/>
      <c r="G22" s="593"/>
      <c r="H22" s="595"/>
      <c r="I22" s="596"/>
      <c r="J22" s="592">
        <v>6890</v>
      </c>
      <c r="K22" s="591">
        <v>9000</v>
      </c>
      <c r="L22" s="595"/>
      <c r="M22" s="501">
        <f t="shared" si="0"/>
        <v>16530</v>
      </c>
      <c r="N22" s="517"/>
    </row>
    <row r="23" spans="1:33">
      <c r="A23" s="594" t="s">
        <v>379</v>
      </c>
      <c r="B23" s="538"/>
      <c r="C23" s="538"/>
      <c r="D23" s="593"/>
      <c r="E23" s="595"/>
      <c r="F23" s="595"/>
      <c r="G23" s="593"/>
      <c r="H23" s="595"/>
      <c r="I23" s="596"/>
      <c r="J23" s="592"/>
      <c r="K23" s="591"/>
      <c r="L23" s="595">
        <v>1562</v>
      </c>
      <c r="M23" s="501">
        <f t="shared" si="0"/>
        <v>0</v>
      </c>
      <c r="N23" s="517"/>
    </row>
    <row r="24" spans="1:33" ht="15">
      <c r="A24" s="597" t="s">
        <v>167</v>
      </c>
      <c r="B24" s="538"/>
      <c r="C24" s="538"/>
      <c r="D24" s="591"/>
      <c r="E24" s="592"/>
      <c r="F24" s="592"/>
      <c r="G24" s="591"/>
      <c r="H24" s="592"/>
      <c r="I24" s="538"/>
      <c r="J24" s="592"/>
      <c r="K24" s="591"/>
      <c r="L24" s="592"/>
      <c r="M24" s="501">
        <f t="shared" si="0"/>
        <v>0</v>
      </c>
    </row>
    <row r="25" spans="1:33">
      <c r="A25" s="590" t="s">
        <v>380</v>
      </c>
      <c r="B25" s="538">
        <v>3020</v>
      </c>
      <c r="C25" s="538"/>
      <c r="D25" s="591"/>
      <c r="E25" s="592"/>
      <c r="F25" s="592"/>
      <c r="G25" s="591"/>
      <c r="H25" s="592"/>
      <c r="I25" s="538"/>
      <c r="J25" s="592"/>
      <c r="K25" s="591"/>
      <c r="L25" s="592"/>
      <c r="M25" s="501">
        <f t="shared" si="0"/>
        <v>3020</v>
      </c>
    </row>
    <row r="26" spans="1:33">
      <c r="A26" s="590" t="s">
        <v>381</v>
      </c>
      <c r="B26" s="538"/>
      <c r="C26" s="538"/>
      <c r="D26" s="591"/>
      <c r="E26" s="592"/>
      <c r="F26" s="592">
        <v>500</v>
      </c>
      <c r="G26" s="591"/>
      <c r="H26" s="592"/>
      <c r="I26" s="538"/>
      <c r="J26" s="592"/>
      <c r="K26" s="591"/>
      <c r="L26" s="592"/>
      <c r="M26" s="501">
        <f t="shared" si="0"/>
        <v>500</v>
      </c>
    </row>
    <row r="27" spans="1:33">
      <c r="A27" s="590" t="s">
        <v>382</v>
      </c>
      <c r="B27" s="538"/>
      <c r="C27" s="538"/>
      <c r="D27" s="593"/>
      <c r="E27" s="595"/>
      <c r="F27" s="595"/>
      <c r="G27" s="593">
        <v>1350</v>
      </c>
      <c r="H27" s="595"/>
      <c r="I27" s="596"/>
      <c r="J27" s="595"/>
      <c r="K27" s="593"/>
      <c r="L27" s="595"/>
      <c r="M27" s="501">
        <f t="shared" si="0"/>
        <v>1350</v>
      </c>
    </row>
    <row r="28" spans="1:33">
      <c r="A28" s="590" t="s">
        <v>383</v>
      </c>
      <c r="B28" s="538"/>
      <c r="C28" s="538"/>
      <c r="D28" s="593"/>
      <c r="E28" s="595"/>
      <c r="F28" s="595"/>
      <c r="G28" s="593"/>
      <c r="H28" s="595">
        <v>600</v>
      </c>
      <c r="I28" s="596">
        <v>500</v>
      </c>
      <c r="J28" s="595"/>
      <c r="K28" s="593"/>
      <c r="L28" s="595"/>
      <c r="M28" s="501">
        <f t="shared" si="0"/>
        <v>1100</v>
      </c>
    </row>
    <row r="29" spans="1:33" ht="15" thickBot="1">
      <c r="A29" s="598" t="s">
        <v>384</v>
      </c>
      <c r="B29" s="538"/>
      <c r="C29" s="538"/>
      <c r="D29" s="593"/>
      <c r="E29" s="595"/>
      <c r="F29" s="595"/>
      <c r="G29" s="593"/>
      <c r="H29" s="595"/>
      <c r="I29" s="596"/>
      <c r="J29" s="595"/>
      <c r="K29" s="593"/>
      <c r="L29" s="595"/>
      <c r="M29" s="578">
        <f t="shared" si="0"/>
        <v>0</v>
      </c>
    </row>
    <row r="30" spans="1:33" s="518" customFormat="1" ht="15" thickBot="1">
      <c r="A30" s="599" t="s">
        <v>350</v>
      </c>
      <c r="B30" s="600">
        <f t="shared" ref="B30:L30" si="2">SUM(B20:B29)</f>
        <v>3020</v>
      </c>
      <c r="C30" s="600">
        <f t="shared" si="2"/>
        <v>0</v>
      </c>
      <c r="D30" s="600">
        <f t="shared" si="2"/>
        <v>1300</v>
      </c>
      <c r="E30" s="600">
        <f t="shared" si="2"/>
        <v>580</v>
      </c>
      <c r="F30" s="600">
        <f t="shared" si="2"/>
        <v>1650</v>
      </c>
      <c r="G30" s="600">
        <f t="shared" si="2"/>
        <v>1350</v>
      </c>
      <c r="H30" s="600">
        <f t="shared" si="2"/>
        <v>1850</v>
      </c>
      <c r="I30" s="600">
        <f t="shared" si="2"/>
        <v>500</v>
      </c>
      <c r="J30" s="600">
        <f t="shared" si="2"/>
        <v>10150</v>
      </c>
      <c r="K30" s="600">
        <f t="shared" si="2"/>
        <v>12740</v>
      </c>
      <c r="L30" s="600">
        <f t="shared" si="2"/>
        <v>1562</v>
      </c>
      <c r="M30" s="601">
        <f t="shared" si="0"/>
        <v>33140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</row>
    <row r="31" spans="1:33">
      <c r="L31" s="602" t="s">
        <v>280</v>
      </c>
      <c r="M31" s="603">
        <f>M30-M18</f>
        <v>-3860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2023</vt:lpstr>
      <vt:lpstr>Valsts</vt:lpstr>
      <vt:lpstr>LRF-01</vt:lpstr>
      <vt:lpstr>BMX</vt:lpstr>
      <vt:lpstr>Šos_sacen.</vt:lpstr>
      <vt:lpstr>Šos_izlase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 Ozols</dc:creator>
  <cp:lastModifiedBy>Artis Ozols</cp:lastModifiedBy>
  <cp:lastPrinted>2022-04-11T09:06:36Z</cp:lastPrinted>
  <dcterms:created xsi:type="dcterms:W3CDTF">2021-11-25T11:20:55Z</dcterms:created>
  <dcterms:modified xsi:type="dcterms:W3CDTF">2023-03-21T09:57:54Z</dcterms:modified>
</cp:coreProperties>
</file>